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1035" windowWidth="15600" windowHeight="633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 calcMode="manual"/>
</workbook>
</file>

<file path=xl/calcChain.xml><?xml version="1.0" encoding="utf-8"?>
<calcChain xmlns="http://schemas.openxmlformats.org/spreadsheetml/2006/main">
  <c r="P25" i="7" l="1"/>
  <c r="O25" i="7"/>
  <c r="N25" i="7"/>
  <c r="M25" i="7"/>
  <c r="L25" i="7"/>
  <c r="K25" i="7"/>
  <c r="J25" i="7"/>
  <c r="I25" i="7"/>
  <c r="H25" i="7"/>
  <c r="F25" i="7"/>
  <c r="P24" i="7"/>
  <c r="O24" i="7"/>
  <c r="N24" i="7"/>
  <c r="M24" i="7"/>
  <c r="L24" i="7"/>
  <c r="K24" i="7"/>
  <c r="J24" i="7"/>
  <c r="I24" i="7"/>
  <c r="H24" i="7"/>
  <c r="F24" i="7"/>
  <c r="P23" i="7"/>
  <c r="O23" i="7"/>
  <c r="N23" i="7"/>
  <c r="M23" i="7"/>
  <c r="L23" i="7"/>
  <c r="K23" i="7"/>
  <c r="J23" i="7"/>
  <c r="I23" i="7"/>
  <c r="H23" i="7"/>
  <c r="F23" i="7"/>
  <c r="P22" i="7"/>
  <c r="O22" i="7"/>
  <c r="N22" i="7"/>
  <c r="M22" i="7"/>
  <c r="L22" i="7"/>
  <c r="K22" i="7"/>
  <c r="J22" i="7"/>
  <c r="I22" i="7"/>
  <c r="H22" i="7"/>
  <c r="F22" i="7"/>
  <c r="P21" i="7"/>
  <c r="O21" i="7"/>
  <c r="N21" i="7"/>
  <c r="M21" i="7"/>
  <c r="L21" i="7"/>
  <c r="K21" i="7"/>
  <c r="J21" i="7"/>
  <c r="I21" i="7"/>
  <c r="H21" i="7"/>
  <c r="F21" i="7"/>
  <c r="P20" i="7"/>
  <c r="O20" i="7"/>
  <c r="N20" i="7"/>
  <c r="M20" i="7"/>
  <c r="L20" i="7"/>
  <c r="K20" i="7"/>
  <c r="J20" i="7"/>
  <c r="I20" i="7"/>
  <c r="H20" i="7"/>
  <c r="F20" i="7"/>
  <c r="P19" i="7"/>
  <c r="O19" i="7"/>
  <c r="N19" i="7"/>
  <c r="M19" i="7"/>
  <c r="L19" i="7"/>
  <c r="K19" i="7"/>
  <c r="J19" i="7"/>
  <c r="I19" i="7"/>
  <c r="H19" i="7"/>
  <c r="F19" i="7"/>
  <c r="P18" i="7"/>
  <c r="O18" i="7"/>
  <c r="N18" i="7"/>
  <c r="M18" i="7"/>
  <c r="L18" i="7"/>
  <c r="K18" i="7"/>
  <c r="J18" i="7"/>
  <c r="I18" i="7"/>
  <c r="H18" i="7"/>
  <c r="F18" i="7"/>
  <c r="P17" i="7"/>
  <c r="O17" i="7"/>
  <c r="N17" i="7"/>
  <c r="M17" i="7"/>
  <c r="L17" i="7"/>
  <c r="K17" i="7"/>
  <c r="J17" i="7"/>
  <c r="I17" i="7"/>
  <c r="H17" i="7"/>
  <c r="F17" i="7"/>
  <c r="P16" i="7"/>
  <c r="O16" i="7"/>
  <c r="N16" i="7"/>
  <c r="M16" i="7"/>
  <c r="L16" i="7"/>
  <c r="K16" i="7"/>
  <c r="J16" i="7"/>
  <c r="I16" i="7"/>
  <c r="H16" i="7"/>
  <c r="F16" i="7"/>
  <c r="P15" i="7"/>
  <c r="O15" i="7"/>
  <c r="N15" i="7"/>
  <c r="M15" i="7"/>
  <c r="L15" i="7"/>
  <c r="K15" i="7"/>
  <c r="J15" i="7"/>
  <c r="I15" i="7"/>
  <c r="H15" i="7"/>
  <c r="F15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F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<sst xmlns="http://schemas.openxmlformats.org/spreadsheetml/2006/main" count="1375" uniqueCount="679">
  <si>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</si>
  <si>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</si>
  <si>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</si>
  <si>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</si>
  <si>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</si>
  <si>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</si>
  <si>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</si>
  <si>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</si>
  <si>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</si>
  <si>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</si>
  <si>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</si>
  <si>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</si>
  <si>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</si>
  <si>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</si>
  <si>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</si>
  <si>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</si>
  <si>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</si>
  <si>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</si>
  <si>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</si>
  <si>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</si>
  <si>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</si>
  <si>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</si>
  <si>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</si>
  <si>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</si>
  <si>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</si>
  <si>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</si>
  <si>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</si>
  <si>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</si>
  <si>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</si>
  <si>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</si>
  <si>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</si>
  <si>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</si>
  <si>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</si>
  <si>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</si>
  <si>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</si>
  <si>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</si>
  <si>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</si>
  <si>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</si>
  <si>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</si>
  <si>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</si>
  <si>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</si>
  <si>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</si>
  <si>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</si>
  <si>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</si>
  <si>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</si>
  <si>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</si>
  <si>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</si>
  <si>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</si>
  <si>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</si>
  <si>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</si>
  <si>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</si>
  <si>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</si>
  <si>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</si>
  <si>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</si>
  <si>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</si>
  <si>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</si>
  <si>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</si>
  <si>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</si>
  <si>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</si>
  <si>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</si>
  <si>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</si>
  <si>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</si>
  <si>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</si>
  <si>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</si>
  <si>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</si>
  <si>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</si>
  <si>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</si>
  <si>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</si>
  <si>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</si>
  <si>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</si>
  <si>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</si>
  <si>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</si>
  <si>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</si>
  <si>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</si>
  <si>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</si>
  <si>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</si>
  <si>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</si>
  <si>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</si>
  <si>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</si>
  <si>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</si>
  <si>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</si>
  <si>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</si>
  <si>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</si>
  <si>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</si>
  <si>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</si>
  <si>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</si>
  <si>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</si>
  <si>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</si>
  <si>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</si>
  <si>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</si>
  <si>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</si>
  <si>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</si>
  <si>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</si>
  <si>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</si>
  <si>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</si>
  <si>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</si>
  <si>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</si>
  <si>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</si>
  <si>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</si>
  <si>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</si>
  <si>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</si>
  <si>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</si>
  <si>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</si>
  <si>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</si>
  <si>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</si>
  <si>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</si>
  <si>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</si>
  <si>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</si>
  <si>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</si>
  <si>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</si>
  <si>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</si>
  <si>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</si>
  <si>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</si>
  <si>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</si>
  <si>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</si>
  <si>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</si>
  <si>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</si>
  <si>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</si>
  <si>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</si>
  <si>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</si>
  <si>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</si>
  <si>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</si>
  <si>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</si>
  <si>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</si>
  <si>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</si>
  <si>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</si>
  <si>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</si>
  <si>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</si>
  <si>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</si>
  <si>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</si>
  <si>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</si>
  <si>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</si>
  <si>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</si>
  <si>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</si>
  <si>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</si>
  <si>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</si>
  <si>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</si>
  <si>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</si>
  <si>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</si>
  <si>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</si>
  <si>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</si>
  <si>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</si>
  <si>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</si>
  <si>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</si>
  <si>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</si>
  <si>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</si>
  <si>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</si>
  <si>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</si>
  <si>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</si>
  <si>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</si>
  <si>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</si>
  <si>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</si>
  <si>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</si>
  <si>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</si>
  <si>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</si>
  <si>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</si>
  <si>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</si>
  <si>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</si>
  <si>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</si>
  <si>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</si>
  <si>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</si>
  <si>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</si>
  <si>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</si>
  <si>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</si>
  <si>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</si>
  <si>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</si>
  <si>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</si>
  <si>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</si>
  <si>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</si>
  <si>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</si>
  <si>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</si>
  <si>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</si>
  <si>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</si>
  <si>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</si>
  <si>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</si>
  <si>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</si>
  <si>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</si>
  <si>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</si>
  <si>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</si>
  <si>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</si>
  <si>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</si>
  <si>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</si>
  <si>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</si>
  <si>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</si>
  <si>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</si>
  <si>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</si>
  <si>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</si>
  <si>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</si>
  <si>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</si>
  <si>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</si>
  <si>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</si>
  <si>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</si>
  <si>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</si>
  <si>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</si>
  <si>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</si>
  <si>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</si>
  <si>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</si>
  <si>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</si>
  <si>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</si>
  <si>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</si>
  <si>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</si>
  <si>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</si>
  <si>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</si>
  <si>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</si>
  <si>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</si>
  <si>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</si>
  <si>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</si>
  <si>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</si>
  <si>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</si>
  <si>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</si>
  <si>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</si>
  <si>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</si>
  <si>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</si>
  <si>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</si>
  <si>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</si>
  <si>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</si>
  <si>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</si>
  <si>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</si>
  <si>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</si>
  <si>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</si>
  <si>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</si>
  <si>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</si>
  <si>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</si>
  <si>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</si>
  <si>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</si>
  <si>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</si>
  <si>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</si>
  <si>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</si>
  <si>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</si>
  <si>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</si>
  <si>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</si>
  <si>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</si>
  <si>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</si>
  <si>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</si>
  <si>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</si>
  <si>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</si>
  <si>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</si>
  <si>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</si>
  <si>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</si>
  <si>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</si>
  <si>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</si>
  <si>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</si>
  <si>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</si>
  <si>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</si>
  <si>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</si>
  <si>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</si>
  <si>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</si>
  <si>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</si>
  <si>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</si>
  <si>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</si>
  <si>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</si>
  <si>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</si>
  <si>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</si>
  <si>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</si>
  <si>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</si>
  <si>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</si>
  <si>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</si>
  <si>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</si>
  <si>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</si>
  <si>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</si>
  <si>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</si>
  <si>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</si>
  <si>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</si>
  <si>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</si>
  <si>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</si>
  <si>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</si>
  <si>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</si>
  <si>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</si>
  <si>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</si>
  <si>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</si>
  <si>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</si>
  <si>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</si>
  <si>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</si>
  <si>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</si>
  <si>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</si>
  <si>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</si>
  <si>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</si>
  <si>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</si>
  <si>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</si>
  <si>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</si>
  <si>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</si>
  <si>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</si>
  <si>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</si>
  <si>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</si>
  <si>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</si>
  <si>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</si>
  <si>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</si>
  <si>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</si>
  <si>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</si>
  <si>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</si>
  <si>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</si>
  <si>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</si>
  <si>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</si>
  <si>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</si>
  <si>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</si>
  <si>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</si>
  <si>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</si>
  <si>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</si>
  <si>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</si>
  <si>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</si>
  <si>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</si>
  <si>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</si>
  <si>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</si>
  <si>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</si>
  <si>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</si>
  <si>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</si>
  <si>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</si>
  <si>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</si>
  <si>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</si>
  <si>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</si>
  <si>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</si>
  <si>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</si>
  <si>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</si>
  <si>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</si>
  <si>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</si>
  <si>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</si>
  <si>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</si>
  <si>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</si>
  <si>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</si>
  <si>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</si>
  <si>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</si>
  <si>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</si>
  <si>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</si>
  <si>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</si>
  <si>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</si>
  <si>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</si>
  <si>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</si>
  <si>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</si>
  <si>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</si>
  <si>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</si>
  <si>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</si>
  <si>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</si>
  <si>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</si>
  <si>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</si>
  <si>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</si>
  <si>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</si>
  <si>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</si>
  <si>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</si>
  <si>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</si>
  <si>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</si>
  <si>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</si>
  <si>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</si>
  <si>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</si>
  <si>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</si>
  <si>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</si>
  <si>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</si>
  <si>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</si>
  <si>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</si>
  <si>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</si>
  <si>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</si>
  <si>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</si>
  <si>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</si>
  <si>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</si>
  <si>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</si>
  <si>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</si>
  <si>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</si>
  <si>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</si>
  <si>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</si>
  <si>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</si>
  <si>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</si>
  <si>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</si>
  <si>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</si>
  <si>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</si>
  <si>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</si>
  <si>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</si>
  <si>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</si>
  <si>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</si>
  <si>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</si>
  <si>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</si>
  <si>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</si>
  <si>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</si>
  <si>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</si>
  <si>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</si>
  <si>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</si>
  <si>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</si>
  <si>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</si>
  <si>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</si>
  <si>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</si>
  <si>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</si>
  <si>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</si>
  <si>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</si>
  <si>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</si>
  <si>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</si>
  <si>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</si>
  <si>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</si>
  <si>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</si>
  <si>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</si>
  <si>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</si>
  <si>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</si>
  <si>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</si>
  <si>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</si>
  <si>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</si>
  <si>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</si>
  <si>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</si>
  <si>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</si>
  <si>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</si>
  <si>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</si>
  <si>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</si>
  <si>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</si>
  <si>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</si>
  <si>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</si>
  <si>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</si>
  <si>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</si>
  <si>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</si>
  <si>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</si>
  <si>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</si>
  <si>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</si>
  <si>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</si>
  <si>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</si>
  <si>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</si>
  <si>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</si>
  <si>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</si>
  <si>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</si>
  <si>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</si>
  <si>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</si>
  <si>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</si>
  <si>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</si>
  <si>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</si>
  <si>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</si>
  <si>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</si>
  <si>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</si>
  <si>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</si>
  <si>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</si>
  <si>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</si>
  <si>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</si>
  <si>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</si>
  <si>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</si>
  <si>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</si>
  <si>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</si>
  <si>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</si>
  <si>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</si>
  <si>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</si>
  <si>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</si>
  <si>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</si>
  <si>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</si>
  <si>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</si>
  <si>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</si>
  <si>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</si>
  <si>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</si>
  <si>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</si>
  <si>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</si>
  <si>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</si>
  <si>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</si>
  <si>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</si>
  <si>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</si>
  <si>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</si>
  <si>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</si>
  <si>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</si>
  <si>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</si>
  <si>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</si>
  <si>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</si>
  <si>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</si>
  <si>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</si>
  <si>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</si>
  <si>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</si>
  <si>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</si>
  <si>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</si>
  <si>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</si>
  <si>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</si>
  <si>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</si>
  <si>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</si>
  <si>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</si>
  <si>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</si>
  <si>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</si>
  <si>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</si>
  <si>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</si>
  <si>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</si>
  <si>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</si>
  <si>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</si>
  <si>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</si>
  <si>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</si>
  <si>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</si>
  <si>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</si>
  <si>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</si>
  <si>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</si>
  <si>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</si>
  <si>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</si>
  <si>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</si>
  <si>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</si>
  <si>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</si>
  <si>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</si>
  <si>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</si>
  <si>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</si>
  <si>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</si>
  <si>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</si>
  <si>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</si>
  <si>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</si>
  <si>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</si>
  <si>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</si>
  <si>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</si>
  <si>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</si>
  <si>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</si>
  <si>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</si>
  <si>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</si>
  <si>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</si>
  <si>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</si>
  <si>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</si>
  <si>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</si>
  <si>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</si>
  <si>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</si>
  <si>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</si>
  <si>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</si>
  <si>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</si>
  <si>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</si>
  <si>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</si>
  <si>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</si>
  <si>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</si>
  <si>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</si>
  <si>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</si>
  <si>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</si>
  <si>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</si>
  <si>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</si>
  <si>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</si>
  <si>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</si>
  <si>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</si>
  <si>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</si>
  <si>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</si>
  <si>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</si>
  <si>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</si>
  <si>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</si>
  <si>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</si>
  <si>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</si>
  <si>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</si>
  <si>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</si>
  <si>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</si>
  <si>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</si>
  <si>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</si>
  <si>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</si>
  <si>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</si>
  <si>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</si>
  <si>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</si>
  <si>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</si>
  <si>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</si>
  <si>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</si>
  <si>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</si>
  <si>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</si>
  <si>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</si>
  <si>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</si>
  <si>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</si>
  <si>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</si>
  <si>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</si>
  <si>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</si>
  <si>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</si>
  <si>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</si>
  <si>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</si>
  <si>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</si>
  <si>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</si>
  <si>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</si>
  <si>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</si>
  <si>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</si>
  <si>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</si>
  <si>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</si>
  <si>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</si>
  <si>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</si>
  <si>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</si>
  <si>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</si>
  <si>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</si>
  <si>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</si>
  <si>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</si>
  <si>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</si>
  <si>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</si>
  <si>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</si>
  <si>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</si>
  <si>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</si>
  <si>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</si>
  <si>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</si>
  <si>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</si>
  <si>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</si>
  <si>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</si>
  <si>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</si>
  <si>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</si>
  <si>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</si>
  <si>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</si>
  <si>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</si>
  <si>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</si>
  <si>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</si>
  <si>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</si>
  <si>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</si>
  <si>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</si>
  <si>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</si>
  <si>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</si>
  <si>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</si>
  <si>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</si>
  <si>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</si>
  <si>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</si>
  <si>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</si>
  <si>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</si>
  <si>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</si>
  <si>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</si>
  <si>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</si>
  <si>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</si>
  <si>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</si>
  <si>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</si>
  <si>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</si>
  <si>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</si>
  <si>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</si>
  <si>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</si>
  <si>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</si>
  <si>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</si>
  <si>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</si>
  <si>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</si>
  <si>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</si>
  <si>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</si>
  <si>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</si>
  <si>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</si>
  <si>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</si>
  <si>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</si>
  <si>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</si>
  <si>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</si>
  <si>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</si>
  <si>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</si>
  <si>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</si>
  <si>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</si>
  <si>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</si>
  <si>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</si>
  <si>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</si>
  <si>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</si>
  <si>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</si>
  <si>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</si>
  <si>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</si>
  <si>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</si>
  <si>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</si>
  <si>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</si>
  <si>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</si>
  <si>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</si>
  <si>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</si>
  <si>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</si>
  <si>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</si>
  <si>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</si>
  <si>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</si>
  <si>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</si>
  <si>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</si>
  <si>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</si>
  <si>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</si>
  <si>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</si>
  <si>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</si>
  <si>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</si>
  <si>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</si>
  <si>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</si>
  <si>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</si>
  <si>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</si>
  <si>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</si>
  <si>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</si>
  <si>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</si>
  <si>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</si>
  <si>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</si>
  <si>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</si>
  <si>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</si>
  <si>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</si>
  <si>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</si>
  <si>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</si>
  <si>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</si>
  <si>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</si>
  <si>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</si>
  <si>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</si>
  <si>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</si>
  <si>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</si>
  <si>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Netzgesellschaft Frankfurt (Oder) mbH</t>
  </si>
  <si>
    <t>9870096300008</t>
  </si>
  <si>
    <t>D-15230</t>
  </si>
  <si>
    <t>Frankfurt (Oder)</t>
  </si>
  <si>
    <t>SW Frankfurt(Oder)</t>
  </si>
  <si>
    <t>DE_HEF34</t>
  </si>
  <si>
    <t>DE_HMF34</t>
  </si>
  <si>
    <t>DE_GMK34</t>
  </si>
  <si>
    <t>DE_GPD34</t>
  </si>
  <si>
    <t>DE_GHA34</t>
  </si>
  <si>
    <t>DE_GBH34</t>
  </si>
  <si>
    <t>DE_GGA34</t>
  </si>
  <si>
    <t>DE_GBA34</t>
  </si>
  <si>
    <t>DE_GBD34</t>
  </si>
  <si>
    <t>DE_GWA34</t>
  </si>
  <si>
    <t>DE_GGB34</t>
  </si>
  <si>
    <t>DE_GMF34</t>
  </si>
  <si>
    <t>0335/5533722</t>
  </si>
  <si>
    <t>Cornelia.Bathelt@netze-ffo.de</t>
  </si>
  <si>
    <t>Cornelia  Bathelt</t>
  </si>
  <si>
    <t>Karl-Marx-Straße 195</t>
  </si>
  <si>
    <t>GASPOOLNH7009631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</si>
</sst>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653</v>
      </c>
    </row>
    <row r="8" spans="2:7" s="8" customFormat="1">
      <c r="B8" s="8" t="s">
        <v>656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654</v>
      </c>
    </row>
    <row r="12" spans="2:7" s="8" customFormat="1">
      <c r="B12" s="8" t="s">
        <v>497</v>
      </c>
    </row>
    <row r="13" spans="2:7" s="8" customFormat="1">
      <c r="B13" s="8" t="s">
        <v>655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42248</v>
      </c>
      <c r="E29" s="8"/>
      <c r="F29" s="8"/>
      <c r="G29" s="8"/>
      <c r="H29" s="8"/>
    </row>
    <row r="30" spans="2:12">
      <c r="B30" s="21" t="s">
        <v>348</v>
      </c>
      <c r="C30" s="327" t="s">
        <v>646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650</v>
      </c>
      <c r="D4" s="27">
        <v>42958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649</v>
      </c>
      <c r="D6" s="27">
        <v>43009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342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1" t="s">
        <v>658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343" t="s">
        <v>677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 t="s">
        <v>659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344" t="s">
        <v>660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676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675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674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396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Frankfurt (Oder)</v>
      </c>
      <c r="E28" s="38"/>
      <c r="F28" s="11"/>
      <c r="G28" s="2"/>
    </row>
    <row r="29" spans="1:15">
      <c r="B29" s="15"/>
      <c r="C29" s="22" t="s">
        <v>396</v>
      </c>
      <c r="D29" s="45" t="s">
        <v>660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420</v>
      </c>
      <c r="D31" s="46"/>
      <c r="E31" s="40"/>
      <c r="F31" s="47"/>
      <c r="G31" s="2"/>
    </row>
    <row r="32" spans="1:15">
      <c r="B32" s="15"/>
      <c r="C32" s="22" t="s">
        <v>421</v>
      </c>
      <c r="D32" s="46"/>
      <c r="E32" s="40"/>
      <c r="F32" s="47"/>
      <c r="G32" s="2"/>
    </row>
    <row r="33" spans="2:7">
      <c r="B33" s="15"/>
      <c r="C33" s="22" t="s">
        <v>422</v>
      </c>
      <c r="D33" s="45"/>
      <c r="E33" s="40"/>
      <c r="F33" s="47"/>
      <c r="G33" s="2"/>
    </row>
    <row r="34" spans="2:7">
      <c r="B34" s="15"/>
      <c r="C34" s="22" t="s">
        <v>423</v>
      </c>
      <c r="D34" s="46"/>
      <c r="E34" s="40"/>
      <c r="F34" s="47"/>
      <c r="G34" s="2"/>
    </row>
    <row r="35" spans="2:7">
      <c r="B35" s="15"/>
      <c r="C35" s="22" t="s">
        <v>424</v>
      </c>
      <c r="D35" s="46"/>
      <c r="E35" s="40"/>
      <c r="F35" s="47"/>
      <c r="G35" s="2"/>
    </row>
    <row r="36" spans="2:7">
      <c r="B36" s="15"/>
      <c r="C36" s="22" t="s">
        <v>425</v>
      </c>
      <c r="D36" s="46"/>
      <c r="E36" s="40"/>
      <c r="F36" s="47"/>
      <c r="G36" s="2"/>
    </row>
    <row r="37" spans="2:7">
      <c r="B37" s="15"/>
      <c r="C37" s="22" t="s">
        <v>426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7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abSelected="1" topLeftCell="A28" zoomScale="80" zoomScaleNormal="80" workbookViewId="0">
      <selection activeCell="C29" sqref="C2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Netzgesellschaft Frankfurt (Oder) 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Frankfurt (Oder)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9870096300008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43009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611</v>
      </c>
      <c r="D13" s="33" t="s">
        <v>612</v>
      </c>
      <c r="E13" s="15"/>
      <c r="H13" s="271" t="s">
        <v>612</v>
      </c>
      <c r="I13" s="271" t="s">
        <v>613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678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571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609</v>
      </c>
      <c r="D22" s="49" t="s">
        <v>605</v>
      </c>
      <c r="E22" s="15"/>
      <c r="H22" s="267" t="s">
        <v>605</v>
      </c>
      <c r="I22" s="267" t="s">
        <v>606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607</v>
      </c>
      <c r="E23" s="15"/>
      <c r="H23" s="267" t="s">
        <v>608</v>
      </c>
      <c r="I23" s="8" t="s">
        <v>604</v>
      </c>
      <c r="J23" s="8"/>
      <c r="K23" s="8"/>
      <c r="L23" s="268"/>
    </row>
    <row r="24" spans="2:16" ht="15" customHeight="1">
      <c r="B24" s="22"/>
      <c r="C24" s="24" t="s">
        <v>610</v>
      </c>
      <c r="D24" s="24" t="str">
        <f>IF(D22=$H$22,L24,IF(D23=$H$24,M24,N24))</f>
        <v>=&gt;  Q(D) = KW  x  h(T, SLP-Typ)  x  F(WT)</v>
      </c>
      <c r="E24" s="15"/>
      <c r="H24" s="267" t="s">
        <v>607</v>
      </c>
      <c r="I24" s="267" t="s">
        <v>614</v>
      </c>
      <c r="J24" s="8"/>
      <c r="K24" s="8"/>
      <c r="L24" s="270" t="s">
        <v>615</v>
      </c>
      <c r="M24" s="270" t="s">
        <v>617</v>
      </c>
      <c r="N24" s="270" t="s">
        <v>616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371</v>
      </c>
      <c r="C26" s="6" t="s">
        <v>574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618</v>
      </c>
      <c r="D27" s="42" t="s">
        <v>619</v>
      </c>
      <c r="E27" s="15"/>
      <c r="H27" s="297" t="s">
        <v>619</v>
      </c>
      <c r="I27" s="269" t="s">
        <v>620</v>
      </c>
      <c r="J27" s="269" t="s">
        <v>621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622</v>
      </c>
      <c r="I28" s="270" t="s">
        <v>623</v>
      </c>
      <c r="J28" s="270" t="s">
        <v>624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625</v>
      </c>
      <c r="I29" s="270" t="s">
        <v>626</v>
      </c>
      <c r="J29" s="270" t="s">
        <v>627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573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628</v>
      </c>
      <c r="I32" s="270" t="s">
        <v>629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630</v>
      </c>
      <c r="I33" s="267" t="s">
        <v>625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545</v>
      </c>
      <c r="C35" s="24" t="s">
        <v>494</v>
      </c>
      <c r="D35" s="42">
        <v>14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546</v>
      </c>
      <c r="C37" s="5" t="s">
        <v>366</v>
      </c>
      <c r="D37" s="34">
        <v>1500000</v>
      </c>
      <c r="E37" s="15" t="s">
        <v>503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547</v>
      </c>
      <c r="C40" s="5" t="s">
        <v>367</v>
      </c>
      <c r="D40" s="36">
        <v>500</v>
      </c>
      <c r="E40" s="15" t="s">
        <v>537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536</v>
      </c>
    </row>
    <row r="44" spans="2:39" ht="18" customHeight="1">
      <c r="C44" s="3" t="s">
        <v>538</v>
      </c>
    </row>
    <row r="45" spans="2:39" ht="18" customHeight="1">
      <c r="C45" s="3"/>
    </row>
    <row r="46" spans="2:39" ht="15" customHeight="1">
      <c r="B46" s="22" t="s">
        <v>548</v>
      </c>
      <c r="C46" s="60" t="s">
        <v>572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582</v>
      </c>
      <c r="D48" s="45" t="s">
        <v>660</v>
      </c>
    </row>
    <row r="49" spans="3:4" ht="18" customHeight="1">
      <c r="C49" s="22" t="s">
        <v>583</v>
      </c>
      <c r="D49" s="45"/>
    </row>
    <row r="50" spans="3:4" ht="18" customHeight="1">
      <c r="C50" s="22" t="s">
        <v>584</v>
      </c>
      <c r="D50" s="45"/>
    </row>
    <row r="51" spans="3:4" ht="18" customHeight="1">
      <c r="C51" s="22" t="s">
        <v>585</v>
      </c>
      <c r="D51" s="45"/>
    </row>
    <row r="52" spans="3:4" ht="18" customHeight="1">
      <c r="C52" s="22" t="s">
        <v>586</v>
      </c>
      <c r="D52" s="45"/>
    </row>
    <row r="53" spans="3:4" ht="18" customHeight="1">
      <c r="C53" s="22" t="s">
        <v>587</v>
      </c>
      <c r="D53" s="45"/>
    </row>
    <row r="54" spans="3:4" ht="18" customHeight="1">
      <c r="C54" s="22" t="s">
        <v>588</v>
      </c>
      <c r="D54" s="45"/>
    </row>
    <row r="55" spans="3:4" ht="18" customHeight="1">
      <c r="C55" s="22" t="s">
        <v>589</v>
      </c>
      <c r="D55" s="45"/>
    </row>
    <row r="56" spans="3:4" ht="18" customHeight="1">
      <c r="C56" s="22" t="s">
        <v>590</v>
      </c>
      <c r="D56" s="45"/>
    </row>
    <row r="57" spans="3:4" ht="18" customHeight="1">
      <c r="C57" s="22" t="s">
        <v>591</v>
      </c>
      <c r="D57" s="45"/>
    </row>
    <row r="58" spans="3:4" ht="18" customHeight="1">
      <c r="C58" s="22" t="s">
        <v>592</v>
      </c>
      <c r="D58" s="45"/>
    </row>
    <row r="59" spans="3:4" ht="18" customHeight="1">
      <c r="C59" s="22" t="s">
        <v>593</v>
      </c>
      <c r="D59" s="45"/>
    </row>
    <row r="60" spans="3:4" ht="18" customHeight="1">
      <c r="C60" s="22" t="s">
        <v>594</v>
      </c>
      <c r="D60" s="45"/>
    </row>
    <row r="61" spans="3:4" ht="18" customHeight="1">
      <c r="C61" s="22" t="s">
        <v>595</v>
      </c>
      <c r="D61" s="45"/>
    </row>
    <row r="62" spans="3:4" ht="18" customHeight="1">
      <c r="C62" s="22" t="s">
        <v>596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abSelected="1" zoomScale="70" zoomScaleNormal="70" workbookViewId="0">
      <selection activeCell="C29" sqref="C29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Netzgesellschaft Frankfurt (Oder) mbH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Frankfurt (Oder)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9870096300008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43009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1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 t="str">
        <f>INDEX('SLP-Verfahren'!D48:D62,'SLP-Temp-Gebiet #01'!F10)</f>
        <v>Frankfurt (Oder)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51" t="s">
        <v>580</v>
      </c>
      <c r="D13" s="351"/>
      <c r="E13" s="351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52" t="s">
        <v>448</v>
      </c>
      <c r="D14" s="352"/>
      <c r="E14" s="89" t="s">
        <v>449</v>
      </c>
      <c r="F14" s="262" t="s">
        <v>77</v>
      </c>
      <c r="G14" s="263" t="s">
        <v>568</v>
      </c>
      <c r="H14" s="51">
        <v>-1.5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52" t="s">
        <v>388</v>
      </c>
      <c r="D15" s="352"/>
      <c r="E15" s="89" t="s">
        <v>449</v>
      </c>
      <c r="F15" s="262" t="s">
        <v>492</v>
      </c>
      <c r="G15" s="263" t="s">
        <v>563</v>
      </c>
      <c r="H15" s="51">
        <v>1</v>
      </c>
      <c r="I15" s="57"/>
      <c r="J15" s="129"/>
      <c r="K15" s="129"/>
      <c r="L15" s="129"/>
      <c r="M15" s="129"/>
      <c r="N15" s="129"/>
      <c r="O15" s="347" t="s">
        <v>500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1</v>
      </c>
      <c r="E22" s="350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345" t="s">
        <v>500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MeteoGroup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345" t="s">
        <v>661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346">
        <v>93990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1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0</v>
      </c>
      <c r="G29" s="176">
        <f t="shared" si="2"/>
        <v>0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1</v>
      </c>
      <c r="F31" s="279">
        <f>ROUND(F32/$D$32,4)</f>
        <v>0.5</v>
      </c>
      <c r="G31" s="279">
        <f t="shared" ref="G31:N31" si="3">ROUND(G32/$D$32,4)</f>
        <v>0.25</v>
      </c>
      <c r="H31" s="279">
        <f t="shared" si="3"/>
        <v>0.125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</v>
      </c>
      <c r="E32" s="349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34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451</v>
      </c>
      <c r="D34" s="152" t="s">
        <v>450</v>
      </c>
      <c r="E34" s="345" t="s">
        <v>509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34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SW Frankfurt(Oder)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93990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1</v>
      </c>
      <c r="F65" s="279">
        <f>ROUND(F66/$D$66,4)</f>
        <v>0.5</v>
      </c>
      <c r="G65" s="279">
        <f t="shared" ref="G65:N65" si="12">ROUND(G66/$D$66,4)</f>
        <v>0.25</v>
      </c>
      <c r="H65" s="279">
        <f t="shared" si="12"/>
        <v>0.125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529</v>
      </c>
      <c r="D66" s="184">
        <f>SUMPRODUCT(E66:N66,E63:N63)</f>
        <v>1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Kalendertag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53" t="s">
        <v>576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1" orientation="landscape" r:id="rId1"/>
  <ignoredErrors>
    <ignoredError sqref="E66:N68 E36:N36 E26:N26 E56:N60 F22 I22:N22 F52 F62 G24:N24 G70:N70 E32:N33 E69:N69 F25:N25 F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Netzbetreiber!$D$9</f>
        <v>Netzgesellschaft Frankfurt (Oder) mbH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Frankfurt (Oder)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Netzbetreiber!$D$11</f>
        <v>9870096300008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43009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2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51" t="s">
        <v>580</v>
      </c>
      <c r="D13" s="351"/>
      <c r="E13" s="351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52" t="s">
        <v>448</v>
      </c>
      <c r="D14" s="352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52" t="s">
        <v>388</v>
      </c>
      <c r="D15" s="352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524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577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 t="s">
        <v>364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53" t="s">
        <v>576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topLeftCell="A4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365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370</v>
      </c>
      <c r="D5" s="54" t="str">
        <f>Netzbetreiber!$D$9</f>
        <v>Netzgesellschaft Frankfurt (Oder) mbH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338</v>
      </c>
      <c r="D6" s="54" t="str">
        <f>Netzbetreiber!$D$28</f>
        <v>Frankfurt (Oder)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9870096300008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43009</v>
      </c>
      <c r="E8" s="129"/>
      <c r="F8" s="129"/>
      <c r="H8" s="127" t="s">
        <v>494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2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631</v>
      </c>
      <c r="M10" s="149" t="s">
        <v>640</v>
      </c>
      <c r="N10" s="150" t="s">
        <v>641</v>
      </c>
      <c r="O10" s="150" t="s">
        <v>642</v>
      </c>
      <c r="P10" s="151" t="s">
        <v>643</v>
      </c>
      <c r="Q10" s="145" t="s">
        <v>632</v>
      </c>
      <c r="R10" s="135" t="s">
        <v>633</v>
      </c>
      <c r="S10" s="136" t="s">
        <v>634</v>
      </c>
      <c r="T10" s="136" t="s">
        <v>635</v>
      </c>
      <c r="U10" s="136" t="s">
        <v>636</v>
      </c>
      <c r="V10" s="136" t="s">
        <v>637</v>
      </c>
      <c r="W10" s="136" t="s">
        <v>638</v>
      </c>
      <c r="X10" s="137" t="s">
        <v>639</v>
      </c>
      <c r="Y10" s="294" t="s">
        <v>644</v>
      </c>
    </row>
    <row r="11" spans="2:26" ht="15.75" thickBot="1">
      <c r="B11" s="138" t="s">
        <v>495</v>
      </c>
      <c r="C11" s="139" t="s">
        <v>506</v>
      </c>
      <c r="D11" s="293" t="s">
        <v>247</v>
      </c>
      <c r="E11" s="163" t="s">
        <v>4</v>
      </c>
      <c r="F11" s="295" t="str">
        <f>VLOOKUP($E11,'BDEW-Standard'!$B$3:$M$158,F$9,0)</f>
        <v>HK3</v>
      </c>
      <c r="H11" s="166">
        <f>ROUND(VLOOKUP($E11,'BDEW-Standard'!$B$3:$M$158,H$9,0),7)</f>
        <v>0.40409319999999999</v>
      </c>
      <c r="I11" s="166">
        <f>ROUND(VLOOKUP($E11,'BDEW-Standard'!$B$3:$M$158,I$9,0),7)</f>
        <v>-24.439296800000001</v>
      </c>
      <c r="J11" s="166">
        <f>ROUND(VLOOKUP($E11,'BDEW-Standard'!$B$3:$M$158,J$9,0),7)</f>
        <v>6.5718174999999999</v>
      </c>
      <c r="K11" s="166">
        <f>ROUND(VLOOKUP($E11,'BDEW-Standard'!$B$3:$M$158,K$9,0),7)</f>
        <v>0.71077100000000004</v>
      </c>
      <c r="L11" s="335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6">
        <f>($H11/(1+($I11/($Q$9-$L11))^$J11)+$K11)+MAX($M11*$Q$9+$N11,$O11*$Q$9+$P11)</f>
        <v>1.0561214000512988</v>
      </c>
      <c r="R11" s="167">
        <f>ROUND(VLOOKUP(MID($E11,4,3),'Wochentag F(WT)'!$B$7:$J$22,R$9,0),4)</f>
        <v>1</v>
      </c>
      <c r="S11" s="167">
        <f>ROUND(VLOOKUP(MID($E11,4,3),'Wochentag F(WT)'!$B$7:$J$22,S$9,0),4)</f>
        <v>1</v>
      </c>
      <c r="T11" s="167">
        <f>ROUND(VLOOKUP(MID($E11,4,3),'Wochentag F(WT)'!$B$7:$J$22,T$9,0),4)</f>
        <v>1</v>
      </c>
      <c r="U11" s="167">
        <f>ROUND(VLOOKUP(MID($E11,4,3),'Wochentag F(WT)'!$B$7:$J$22,U$9,0),4)</f>
        <v>1</v>
      </c>
      <c r="V11" s="167">
        <f>ROUND(VLOOKUP(MID($E11,4,3),'Wochentag F(WT)'!$B$7:$J$22,V$9,0),4)</f>
        <v>1</v>
      </c>
      <c r="W11" s="167">
        <f>ROUND(VLOOKUP(MID($E11,4,3),'Wochentag F(WT)'!$B$7:$J$22,W$9,0),4)</f>
        <v>1</v>
      </c>
      <c r="X11" s="168">
        <f>7-SUM(R11:W11)</f>
        <v>1</v>
      </c>
      <c r="Y11" s="291">
        <v>365.12299999999999</v>
      </c>
    </row>
    <row r="12" spans="2:26">
      <c r="B12" s="140">
        <v>1</v>
      </c>
      <c r="C12" s="141" t="str">
        <f t="shared" ref="C12:C41" si="0">$D$6</f>
        <v>Frankfurt (Oder)</v>
      </c>
      <c r="D12" s="62" t="s">
        <v>247</v>
      </c>
      <c r="E12" s="164" t="s">
        <v>4</v>
      </c>
      <c r="F12" s="296" t="str">
        <f>VLOOKUP($E12,'BDEW-Standard'!$B$3:$M$158,F$9,0)</f>
        <v>HK3</v>
      </c>
      <c r="H12" s="273">
        <f>ROUND(VLOOKUP($E12,'BDEW-Standard'!$B$3:$M$158,H$9,0),7)</f>
        <v>0.40409319999999999</v>
      </c>
      <c r="I12" s="273">
        <f>ROUND(VLOOKUP($E12,'BDEW-Standard'!$B$3:$M$158,I$9,0),7)</f>
        <v>-24.439296800000001</v>
      </c>
      <c r="J12" s="273">
        <f>ROUND(VLOOKUP($E12,'BDEW-Standard'!$B$3:$M$158,J$9,0),7)</f>
        <v>6.5718174999999999</v>
      </c>
      <c r="K12" s="273">
        <f>ROUND(VLOOKUP($E12,'BDEW-Standard'!$B$3:$M$158,K$9,0),7)</f>
        <v>0.71077100000000004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5" si="1">($H12/(1+($I12/($Q$9-$L12))^$J12)+$K12)+MAX($M12*$Q$9+$N12,$O12*$Q$9+$P12)</f>
        <v>1.0561214000512988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Frankfurt (Oder)</v>
      </c>
      <c r="D13" s="62" t="s">
        <v>247</v>
      </c>
      <c r="E13" s="348" t="s">
        <v>662</v>
      </c>
      <c r="F13" s="296" t="str">
        <f>VLOOKUP($E13,'BDEW-Standard'!$B$3:$M$158,F$9,0)</f>
        <v>1D4</v>
      </c>
      <c r="H13" s="273">
        <f>ROUND(VLOOKUP($E13,'BDEW-Standard'!$B$3:$M$158,H$9,0),7)</f>
        <v>1.3819663</v>
      </c>
      <c r="I13" s="273">
        <f>ROUND(VLOOKUP($E13,'BDEW-Standard'!$B$3:$M$158,I$9,0),7)</f>
        <v>-37.412415500000002</v>
      </c>
      <c r="J13" s="273">
        <f>ROUND(VLOOKUP($E13,'BDEW-Standard'!$B$3:$M$158,J$9,0),7)</f>
        <v>6.1723179000000004</v>
      </c>
      <c r="K13" s="273">
        <f>ROUND(VLOOKUP($E13,'BDEW-Standard'!$B$3:$M$158,K$9,0),7)</f>
        <v>3.9628400000000001E-2</v>
      </c>
      <c r="L13" s="337">
        <f>ROUND(VLOOKUP($E13,'BDEW-Standard'!$B$3:$M$158,L$9,0),1)</f>
        <v>40</v>
      </c>
      <c r="M13" s="273">
        <f>ROUND(VLOOKUP($E13,'BDEW-Standard'!$B$3:$M$158,M$9,0),7)</f>
        <v>-6.7215899999999995E-2</v>
      </c>
      <c r="N13" s="273">
        <f>ROUND(VLOOKUP($E13,'BDEW-Standard'!$B$3:$M$158,N$9,0),7)</f>
        <v>1.1167138000000001</v>
      </c>
      <c r="O13" s="273">
        <f>ROUND(VLOOKUP($E13,'BDEW-Standard'!$B$3:$M$158,O$9,0),7)</f>
        <v>-1.9981999999999999E-3</v>
      </c>
      <c r="P13" s="273">
        <f>ROUND(VLOOKUP($E13,'BDEW-Standard'!$B$3:$M$158,P$9,0),7)</f>
        <v>0.13550699999999999</v>
      </c>
      <c r="Q13" s="338">
        <f t="shared" si="1"/>
        <v>0.99999978578617399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5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Frankfurt (Oder)</v>
      </c>
      <c r="D14" s="62" t="s">
        <v>247</v>
      </c>
      <c r="E14" s="348" t="s">
        <v>663</v>
      </c>
      <c r="F14" s="296" t="str">
        <f>VLOOKUP($E14,'BDEW-Standard'!$B$3:$M$158,F$9,0)</f>
        <v>2D4</v>
      </c>
      <c r="H14" s="273">
        <f>ROUND(VLOOKUP($E14,'BDEW-Standard'!$B$3:$M$158,H$9,0),7)</f>
        <v>1.0443538000000001</v>
      </c>
      <c r="I14" s="273">
        <f>ROUND(VLOOKUP($E14,'BDEW-Standard'!$B$3:$M$158,I$9,0),7)</f>
        <v>-35.033375399999997</v>
      </c>
      <c r="J14" s="273">
        <f>ROUND(VLOOKUP($E14,'BDEW-Standard'!$B$3:$M$158,J$9,0),7)</f>
        <v>6.2240634000000004</v>
      </c>
      <c r="K14" s="273">
        <f>ROUND(VLOOKUP($E14,'BDEW-Standard'!$B$3:$M$158,K$9,0),7)</f>
        <v>5.0291700000000002E-2</v>
      </c>
      <c r="L14" s="337">
        <f>ROUND(VLOOKUP($E14,'BDEW-Standard'!$B$3:$M$158,L$9,0),1)</f>
        <v>40</v>
      </c>
      <c r="M14" s="273">
        <f>ROUND(VLOOKUP($E14,'BDEW-Standard'!$B$3:$M$158,M$9,0),7)</f>
        <v>-5.3582999999999999E-2</v>
      </c>
      <c r="N14" s="273">
        <f>ROUND(VLOOKUP($E14,'BDEW-Standard'!$B$3:$M$158,N$9,0),7)</f>
        <v>0.99959010000000004</v>
      </c>
      <c r="O14" s="273">
        <f>ROUND(VLOOKUP($E14,'BDEW-Standard'!$B$3:$M$158,O$9,0),7)</f>
        <v>-2.1757999999999999E-3</v>
      </c>
      <c r="P14" s="273">
        <f>ROUND(VLOOKUP($E14,'BDEW-Standard'!$B$3:$M$158,P$9,0),7)</f>
        <v>0.1633299</v>
      </c>
      <c r="Q14" s="338">
        <f t="shared" si="1"/>
        <v>1.0000001838008261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Frankfurt (Oder)</v>
      </c>
      <c r="D15" s="62" t="s">
        <v>247</v>
      </c>
      <c r="E15" s="348" t="s">
        <v>664</v>
      </c>
      <c r="F15" s="296" t="str">
        <f>VLOOKUP($E15,'BDEW-Standard'!$B$3:$M$158,F$9,0)</f>
        <v>KM4</v>
      </c>
      <c r="H15" s="273">
        <f>ROUND(VLOOKUP($E15,'BDEW-Standard'!$B$3:$M$158,H$9,0),7)</f>
        <v>1.3284913</v>
      </c>
      <c r="I15" s="273">
        <f>ROUND(VLOOKUP($E15,'BDEW-Standard'!$B$3:$M$158,I$9,0),7)</f>
        <v>-35.871506199999999</v>
      </c>
      <c r="J15" s="273">
        <f>ROUND(VLOOKUP($E15,'BDEW-Standard'!$B$3:$M$158,J$9,0),7)</f>
        <v>7.5186828999999999</v>
      </c>
      <c r="K15" s="273">
        <f>ROUND(VLOOKUP($E15,'BDEW-Standard'!$B$3:$M$158,K$9,0),7)</f>
        <v>1.7554E-2</v>
      </c>
      <c r="L15" s="337">
        <f>ROUND(VLOOKUP($E15,'BDEW-Standard'!$B$3:$M$158,L$9,0),1)</f>
        <v>40</v>
      </c>
      <c r="M15" s="273">
        <f>ROUND(VLOOKUP($E15,'BDEW-Standard'!$B$3:$M$158,M$9,0),7)</f>
        <v>-7.5898300000000002E-2</v>
      </c>
      <c r="N15" s="273">
        <f>ROUND(VLOOKUP($E15,'BDEW-Standard'!$B$3:$M$158,N$9,0),7)</f>
        <v>1.1942554999999999</v>
      </c>
      <c r="O15" s="273">
        <f>ROUND(VLOOKUP($E15,'BDEW-Standard'!$B$3:$M$158,O$9,0),7)</f>
        <v>-8.9800000000000004E-4</v>
      </c>
      <c r="P15" s="273">
        <f>ROUND(VLOOKUP($E15,'BDEW-Standard'!$B$3:$M$158,P$9,0),7)</f>
        <v>6.0333699999999997E-2</v>
      </c>
      <c r="Q15" s="338">
        <f t="shared" si="1"/>
        <v>0.99999979406904638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5</v>
      </c>
      <c r="C16" s="144" t="str">
        <f t="shared" si="0"/>
        <v>Frankfurt (Oder)</v>
      </c>
      <c r="D16" s="62" t="s">
        <v>247</v>
      </c>
      <c r="E16" s="348" t="s">
        <v>665</v>
      </c>
      <c r="F16" s="296" t="str">
        <f>VLOOKUP($E16,'BDEW-Standard'!$B$3:$M$158,F$9,0)</f>
        <v>DP4</v>
      </c>
      <c r="H16" s="273">
        <f>ROUND(VLOOKUP($E16,'BDEW-Standard'!$B$3:$M$158,H$9,0),7)</f>
        <v>1.8834609</v>
      </c>
      <c r="I16" s="273">
        <f>ROUND(VLOOKUP($E16,'BDEW-Standard'!$B$3:$M$158,I$9,0),7)</f>
        <v>-37</v>
      </c>
      <c r="J16" s="273">
        <f>ROUND(VLOOKUP($E16,'BDEW-Standard'!$B$3:$M$158,J$9,0),7)</f>
        <v>10.2405021</v>
      </c>
      <c r="K16" s="273">
        <f>ROUND(VLOOKUP($E16,'BDEW-Standard'!$B$3:$M$158,K$9,0),7)</f>
        <v>2.7546999999999999E-2</v>
      </c>
      <c r="L16" s="337">
        <f>ROUND(VLOOKUP($E16,'BDEW-Standard'!$B$3:$M$158,L$9,0),1)</f>
        <v>40</v>
      </c>
      <c r="M16" s="273">
        <f>ROUND(VLOOKUP($E16,'BDEW-Standard'!$B$3:$M$158,M$9,0),7)</f>
        <v>-0.12531</v>
      </c>
      <c r="N16" s="273">
        <f>ROUND(VLOOKUP($E16,'BDEW-Standard'!$B$3:$M$158,N$9,0),7)</f>
        <v>1.6275999000000001</v>
      </c>
      <c r="O16" s="273">
        <f>ROUND(VLOOKUP($E16,'BDEW-Standard'!$B$3:$M$158,O$9,0),7)</f>
        <v>-1.105E-4</v>
      </c>
      <c r="P16" s="273">
        <f>ROUND(VLOOKUP($E16,'BDEW-Standard'!$B$3:$M$158,P$9,0),7)</f>
        <v>6.3511899999999996E-2</v>
      </c>
      <c r="Q16" s="338">
        <f t="shared" si="1"/>
        <v>0.99999976624159248</v>
      </c>
      <c r="R16" s="274">
        <f>ROUND(VLOOKUP(MID($E16,4,3),'Wochentag F(WT)'!$B$7:$J$22,R$9,0),4)</f>
        <v>1.0214000000000001</v>
      </c>
      <c r="S16" s="274">
        <f>ROUND(VLOOKUP(MID($E16,4,3),'Wochentag F(WT)'!$B$7:$J$22,S$9,0),4)</f>
        <v>1.0866</v>
      </c>
      <c r="T16" s="274">
        <f>ROUND(VLOOKUP(MID($E16,4,3),'Wochentag F(WT)'!$B$7:$J$22,T$9,0),4)</f>
        <v>1.0720000000000001</v>
      </c>
      <c r="U16" s="274">
        <f>ROUND(VLOOKUP(MID($E16,4,3),'Wochentag F(WT)'!$B$7:$J$22,U$9,0),4)</f>
        <v>1.0557000000000001</v>
      </c>
      <c r="V16" s="274">
        <f>ROUND(VLOOKUP(MID($E16,4,3),'Wochentag F(WT)'!$B$7:$J$22,V$9,0),4)</f>
        <v>1.0117</v>
      </c>
      <c r="W16" s="274">
        <f>ROUND(VLOOKUP(MID($E16,4,3),'Wochentag F(WT)'!$B$7:$J$22,W$9,0),4)</f>
        <v>0.90010000000000001</v>
      </c>
      <c r="X16" s="275">
        <f t="shared" si="2"/>
        <v>0.85249999999999915</v>
      </c>
      <c r="Y16" s="292"/>
      <c r="Z16" s="210"/>
    </row>
    <row r="17" spans="2:26" s="142" customFormat="1">
      <c r="B17" s="143">
        <v>6</v>
      </c>
      <c r="C17" s="144" t="str">
        <f t="shared" si="0"/>
        <v>Frankfurt (Oder)</v>
      </c>
      <c r="D17" s="62" t="s">
        <v>247</v>
      </c>
      <c r="E17" s="348" t="s">
        <v>666</v>
      </c>
      <c r="F17" s="296" t="str">
        <f>VLOOKUP($E17,'BDEW-Standard'!$B$3:$M$158,F$9,0)</f>
        <v>AH4</v>
      </c>
      <c r="H17" s="273">
        <f>ROUND(VLOOKUP($E17,'BDEW-Standard'!$B$3:$M$158,H$9,0),7)</f>
        <v>1.8398455</v>
      </c>
      <c r="I17" s="273">
        <f>ROUND(VLOOKUP($E17,'BDEW-Standard'!$B$3:$M$158,I$9,0),7)</f>
        <v>-37.828203700000003</v>
      </c>
      <c r="J17" s="273">
        <f>ROUND(VLOOKUP($E17,'BDEW-Standard'!$B$3:$M$158,J$9,0),7)</f>
        <v>8.1593368999999996</v>
      </c>
      <c r="K17" s="273">
        <f>ROUND(VLOOKUP($E17,'BDEW-Standard'!$B$3:$M$158,K$9,0),7)</f>
        <v>2.5971000000000001E-2</v>
      </c>
      <c r="L17" s="337">
        <f>ROUND(VLOOKUP($E17,'BDEW-Standard'!$B$3:$M$158,L$9,0),1)</f>
        <v>40</v>
      </c>
      <c r="M17" s="273">
        <f>ROUND(VLOOKUP($E17,'BDEW-Standard'!$B$3:$M$158,M$9,0),7)</f>
        <v>-0.1069262</v>
      </c>
      <c r="N17" s="273">
        <f>ROUND(VLOOKUP($E17,'BDEW-Standard'!$B$3:$M$158,N$9,0),7)</f>
        <v>1.4552240000000001</v>
      </c>
      <c r="O17" s="273">
        <f>ROUND(VLOOKUP($E17,'BDEW-Standard'!$B$3:$M$158,O$9,0),7)</f>
        <v>-4.9200000000000003E-4</v>
      </c>
      <c r="P17" s="273">
        <f>ROUND(VLOOKUP($E17,'BDEW-Standard'!$B$3:$M$158,P$9,0),7)</f>
        <v>6.9185099999999999E-2</v>
      </c>
      <c r="Q17" s="338">
        <f t="shared" si="1"/>
        <v>0.99999974325043151</v>
      </c>
      <c r="R17" s="274">
        <f>ROUND(VLOOKUP(MID($E17,4,3),'Wochentag F(WT)'!$B$7:$J$22,R$9,0),4)</f>
        <v>1.0358000000000001</v>
      </c>
      <c r="S17" s="274">
        <f>ROUND(VLOOKUP(MID($E17,4,3),'Wochentag F(WT)'!$B$7:$J$22,S$9,0),4)</f>
        <v>1.0232000000000001</v>
      </c>
      <c r="T17" s="274">
        <f>ROUND(VLOOKUP(MID($E17,4,3),'Wochentag F(WT)'!$B$7:$J$22,T$9,0),4)</f>
        <v>1.0251999999999999</v>
      </c>
      <c r="U17" s="274">
        <f>ROUND(VLOOKUP(MID($E17,4,3),'Wochentag F(WT)'!$B$7:$J$22,U$9,0),4)</f>
        <v>1.0295000000000001</v>
      </c>
      <c r="V17" s="274">
        <f>ROUND(VLOOKUP(MID($E17,4,3),'Wochentag F(WT)'!$B$7:$J$22,V$9,0),4)</f>
        <v>1.0253000000000001</v>
      </c>
      <c r="W17" s="274">
        <f>ROUND(VLOOKUP(MID($E17,4,3),'Wochentag F(WT)'!$B$7:$J$22,W$9,0),4)</f>
        <v>0.96750000000000003</v>
      </c>
      <c r="X17" s="275">
        <f t="shared" si="2"/>
        <v>0.89350000000000041</v>
      </c>
      <c r="Y17" s="292"/>
      <c r="Z17" s="210"/>
    </row>
    <row r="18" spans="2:26" s="142" customFormat="1">
      <c r="B18" s="143">
        <v>7</v>
      </c>
      <c r="C18" s="144" t="str">
        <f t="shared" si="0"/>
        <v>Frankfurt (Oder)</v>
      </c>
      <c r="D18" s="62" t="s">
        <v>247</v>
      </c>
      <c r="E18" s="348" t="s">
        <v>670</v>
      </c>
      <c r="F18" s="296" t="str">
        <f>VLOOKUP($E18,'BDEW-Standard'!$B$3:$M$158,F$9,0)</f>
        <v>DB4</v>
      </c>
      <c r="H18" s="273">
        <f>ROUND(VLOOKUP($E18,'BDEW-Standard'!$B$3:$M$158,H$9,0),7)</f>
        <v>1.5175791999999999</v>
      </c>
      <c r="I18" s="273">
        <f>ROUND(VLOOKUP($E18,'BDEW-Standard'!$B$3:$M$158,I$9,0),7)</f>
        <v>-37.5</v>
      </c>
      <c r="J18" s="273">
        <f>ROUND(VLOOKUP($E18,'BDEW-Standard'!$B$3:$M$158,J$9,0),7)</f>
        <v>6.8</v>
      </c>
      <c r="K18" s="273">
        <f>ROUND(VLOOKUP($E18,'BDEW-Standard'!$B$3:$M$158,K$9,0),7)</f>
        <v>2.9580100000000002E-2</v>
      </c>
      <c r="L18" s="337">
        <f>ROUND(VLOOKUP($E18,'BDEW-Standard'!$B$3:$M$158,L$9,0),1)</f>
        <v>40</v>
      </c>
      <c r="M18" s="273">
        <f>ROUND(VLOOKUP($E18,'BDEW-Standard'!$B$3:$M$158,M$9,0),7)</f>
        <v>-7.8855900000000007E-2</v>
      </c>
      <c r="N18" s="273">
        <f>ROUND(VLOOKUP($E18,'BDEW-Standard'!$B$3:$M$158,N$9,0),7)</f>
        <v>1.2161249999999999</v>
      </c>
      <c r="O18" s="273">
        <f>ROUND(VLOOKUP($E18,'BDEW-Standard'!$B$3:$M$158,O$9,0),7)</f>
        <v>-1.3133999999999999E-3</v>
      </c>
      <c r="P18" s="273">
        <f>ROUND(VLOOKUP($E18,'BDEW-Standard'!$B$3:$M$158,P$9,0),7)</f>
        <v>9.6872100000000003E-2</v>
      </c>
      <c r="Q18" s="338">
        <f t="shared" si="1"/>
        <v>1.0000002163173649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2" customFormat="1">
      <c r="B19" s="143">
        <v>8</v>
      </c>
      <c r="C19" s="144" t="str">
        <f t="shared" si="0"/>
        <v>Frankfurt (Oder)</v>
      </c>
      <c r="D19" s="62" t="s">
        <v>247</v>
      </c>
      <c r="E19" s="348" t="s">
        <v>513</v>
      </c>
      <c r="F19" s="296" t="str">
        <f>VLOOKUP($E19,'BDEW-Standard'!$B$3:$M$158,F$9,0)</f>
        <v>OK4</v>
      </c>
      <c r="H19" s="273">
        <f>ROUND(VLOOKUP($E19,'BDEW-Standard'!$B$3:$M$158,H$9,0),7)</f>
        <v>1.4256683999999999</v>
      </c>
      <c r="I19" s="273">
        <f>ROUND(VLOOKUP($E19,'BDEW-Standard'!$B$3:$M$158,I$9,0),7)</f>
        <v>-36.659050399999998</v>
      </c>
      <c r="J19" s="273">
        <f>ROUND(VLOOKUP($E19,'BDEW-Standard'!$B$3:$M$158,J$9,0),7)</f>
        <v>7.6083226000000002</v>
      </c>
      <c r="K19" s="273">
        <f>ROUND(VLOOKUP($E19,'BDEW-Standard'!$B$3:$M$158,K$9,0),7)</f>
        <v>3.7111600000000002E-2</v>
      </c>
      <c r="L19" s="337">
        <f>ROUND(VLOOKUP($E19,'BDEW-Standard'!$B$3:$M$158,L$9,0),1)</f>
        <v>40</v>
      </c>
      <c r="M19" s="273">
        <f>ROUND(VLOOKUP($E19,'BDEW-Standard'!$B$3:$M$158,M$9,0),7)</f>
        <v>-8.0935900000000005E-2</v>
      </c>
      <c r="N19" s="273">
        <f>ROUND(VLOOKUP($E19,'BDEW-Standard'!$B$3:$M$158,N$9,0),7)</f>
        <v>1.2364527000000001</v>
      </c>
      <c r="O19" s="273">
        <f>ROUND(VLOOKUP($E19,'BDEW-Standard'!$B$3:$M$158,O$9,0),7)</f>
        <v>-7.628E-4</v>
      </c>
      <c r="P19" s="273">
        <f>ROUND(VLOOKUP($E19,'BDEW-Standard'!$B$3:$M$158,P$9,0),7)</f>
        <v>0.1002979</v>
      </c>
      <c r="Q19" s="338">
        <f t="shared" si="1"/>
        <v>0.99999996033498917</v>
      </c>
      <c r="R19" s="274">
        <f>ROUND(VLOOKUP(MID($E19,4,3),'Wochentag F(WT)'!$B$7:$J$22,R$9,0),4)</f>
        <v>1.0354000000000001</v>
      </c>
      <c r="S19" s="274">
        <f>ROUND(VLOOKUP(MID($E19,4,3),'Wochentag F(WT)'!$B$7:$J$22,S$9,0),4)</f>
        <v>1.0523</v>
      </c>
      <c r="T19" s="274">
        <f>ROUND(VLOOKUP(MID($E19,4,3),'Wochentag F(WT)'!$B$7:$J$22,T$9,0),4)</f>
        <v>1.0448999999999999</v>
      </c>
      <c r="U19" s="274">
        <f>ROUND(VLOOKUP(MID($E19,4,3),'Wochentag F(WT)'!$B$7:$J$22,U$9,0),4)</f>
        <v>1.0494000000000001</v>
      </c>
      <c r="V19" s="274">
        <f>ROUND(VLOOKUP(MID($E19,4,3),'Wochentag F(WT)'!$B$7:$J$22,V$9,0),4)</f>
        <v>0.98850000000000005</v>
      </c>
      <c r="W19" s="274">
        <f>ROUND(VLOOKUP(MID($E19,4,3),'Wochentag F(WT)'!$B$7:$J$22,W$9,0),4)</f>
        <v>0.88600000000000001</v>
      </c>
      <c r="X19" s="275">
        <f t="shared" si="2"/>
        <v>0.94349999999999934</v>
      </c>
      <c r="Y19" s="292"/>
      <c r="Z19" s="210"/>
    </row>
    <row r="20" spans="2:26" s="142" customFormat="1">
      <c r="B20" s="143">
        <v>9</v>
      </c>
      <c r="C20" s="144" t="str">
        <f t="shared" si="0"/>
        <v>Frankfurt (Oder)</v>
      </c>
      <c r="D20" s="62" t="s">
        <v>247</v>
      </c>
      <c r="E20" s="348" t="s">
        <v>667</v>
      </c>
      <c r="F20" s="296" t="str">
        <f>VLOOKUP($E20,'BDEW-Standard'!$B$3:$M$158,F$9,0)</f>
        <v>HB4</v>
      </c>
      <c r="H20" s="273">
        <f>ROUND(VLOOKUP($E20,'BDEW-Standard'!$B$3:$M$158,H$9,0),7)</f>
        <v>0.98725850000000004</v>
      </c>
      <c r="I20" s="273">
        <f>ROUND(VLOOKUP($E20,'BDEW-Standard'!$B$3:$M$158,I$9,0),7)</f>
        <v>-35.253212400000002</v>
      </c>
      <c r="J20" s="273">
        <f>ROUND(VLOOKUP($E20,'BDEW-Standard'!$B$3:$M$158,J$9,0),7)</f>
        <v>6.0587001000000003</v>
      </c>
      <c r="K20" s="273">
        <f>ROUND(VLOOKUP($E20,'BDEW-Standard'!$B$3:$M$158,K$9,0),7)</f>
        <v>7.9351199999999997E-2</v>
      </c>
      <c r="L20" s="337">
        <f>ROUND(VLOOKUP($E20,'BDEW-Standard'!$B$3:$M$158,L$9,0),1)</f>
        <v>40</v>
      </c>
      <c r="M20" s="273">
        <f>ROUND(VLOOKUP($E20,'BDEW-Standard'!$B$3:$M$158,M$9,0),7)</f>
        <v>-4.9501299999999998E-2</v>
      </c>
      <c r="N20" s="273">
        <f>ROUND(VLOOKUP($E20,'BDEW-Standard'!$B$3:$M$158,N$9,0),7)</f>
        <v>0.96379990000000004</v>
      </c>
      <c r="O20" s="273">
        <f>ROUND(VLOOKUP($E20,'BDEW-Standard'!$B$3:$M$158,O$9,0),7)</f>
        <v>-2.2304E-3</v>
      </c>
      <c r="P20" s="273">
        <f>ROUND(VLOOKUP($E20,'BDEW-Standard'!$B$3:$M$158,P$9,0),7)</f>
        <v>0.22883980000000001</v>
      </c>
      <c r="Q20" s="338">
        <f t="shared" si="1"/>
        <v>1.000000249892145</v>
      </c>
      <c r="R20" s="274">
        <f>ROUND(VLOOKUP(MID($E20,4,3),'Wochentag F(WT)'!$B$7:$J$22,R$9,0),4)</f>
        <v>0.97670000000000001</v>
      </c>
      <c r="S20" s="274">
        <f>ROUND(VLOOKUP(MID($E20,4,3),'Wochentag F(WT)'!$B$7:$J$22,S$9,0),4)</f>
        <v>1.0388999999999999</v>
      </c>
      <c r="T20" s="274">
        <f>ROUND(VLOOKUP(MID($E20,4,3),'Wochentag F(WT)'!$B$7:$J$22,T$9,0),4)</f>
        <v>1.0027999999999999</v>
      </c>
      <c r="U20" s="274">
        <f>ROUND(VLOOKUP(MID($E20,4,3),'Wochentag F(WT)'!$B$7:$J$22,U$9,0),4)</f>
        <v>1.0162</v>
      </c>
      <c r="V20" s="274">
        <f>ROUND(VLOOKUP(MID($E20,4,3),'Wochentag F(WT)'!$B$7:$J$22,V$9,0),4)</f>
        <v>1.0024</v>
      </c>
      <c r="W20" s="274">
        <f>ROUND(VLOOKUP(MID($E20,4,3),'Wochentag F(WT)'!$B$7:$J$22,W$9,0),4)</f>
        <v>1.0043</v>
      </c>
      <c r="X20" s="275">
        <f t="shared" si="2"/>
        <v>0.95870000000000122</v>
      </c>
      <c r="Y20" s="292"/>
      <c r="Z20" s="210"/>
    </row>
    <row r="21" spans="2:26" s="142" customFormat="1">
      <c r="B21" s="143">
        <v>10</v>
      </c>
      <c r="C21" s="144" t="str">
        <f t="shared" si="0"/>
        <v>Frankfurt (Oder)</v>
      </c>
      <c r="D21" s="62" t="s">
        <v>247</v>
      </c>
      <c r="E21" s="348" t="s">
        <v>668</v>
      </c>
      <c r="F21" s="296" t="str">
        <f>VLOOKUP($E21,'BDEW-Standard'!$B$3:$M$158,F$9,0)</f>
        <v>AG4</v>
      </c>
      <c r="H21" s="273">
        <f>ROUND(VLOOKUP($E21,'BDEW-Standard'!$B$3:$M$158,H$9,0),7)</f>
        <v>1.1848320000000001</v>
      </c>
      <c r="I21" s="273">
        <f>ROUND(VLOOKUP($E21,'BDEW-Standard'!$B$3:$M$158,I$9,0),7)</f>
        <v>-36</v>
      </c>
      <c r="J21" s="273">
        <f>ROUND(VLOOKUP($E21,'BDEW-Standard'!$B$3:$M$158,J$9,0),7)</f>
        <v>7.7368518000000002</v>
      </c>
      <c r="K21" s="273">
        <f>ROUND(VLOOKUP($E21,'BDEW-Standard'!$B$3:$M$158,K$9,0),7)</f>
        <v>7.9310699999999998E-2</v>
      </c>
      <c r="L21" s="337">
        <f>ROUND(VLOOKUP($E21,'BDEW-Standard'!$B$3:$M$158,L$9,0),1)</f>
        <v>40</v>
      </c>
      <c r="M21" s="273">
        <f>ROUND(VLOOKUP($E21,'BDEW-Standard'!$B$3:$M$158,M$9,0),7)</f>
        <v>-6.8738300000000002E-2</v>
      </c>
      <c r="N21" s="273">
        <f>ROUND(VLOOKUP($E21,'BDEW-Standard'!$B$3:$M$158,N$9,0),7)</f>
        <v>1.130857</v>
      </c>
      <c r="O21" s="273">
        <f>ROUND(VLOOKUP($E21,'BDEW-Standard'!$B$3:$M$158,O$9,0),7)</f>
        <v>-6.5870000000000002E-4</v>
      </c>
      <c r="P21" s="273">
        <f>ROUND(VLOOKUP($E21,'BDEW-Standard'!$B$3:$M$158,P$9,0),7)</f>
        <v>0.19103010000000001</v>
      </c>
      <c r="Q21" s="338">
        <f t="shared" si="1"/>
        <v>1.0000000851295017</v>
      </c>
      <c r="R21" s="274">
        <f>ROUND(VLOOKUP(MID($E21,4,3),'Wochentag F(WT)'!$B$7:$J$22,R$9,0),4)</f>
        <v>0.93220000000000003</v>
      </c>
      <c r="S21" s="274">
        <f>ROUND(VLOOKUP(MID($E21,4,3),'Wochentag F(WT)'!$B$7:$J$22,S$9,0),4)</f>
        <v>0.98939999999999995</v>
      </c>
      <c r="T21" s="274">
        <f>ROUND(VLOOKUP(MID($E21,4,3),'Wochentag F(WT)'!$B$7:$J$22,T$9,0),4)</f>
        <v>1.0033000000000001</v>
      </c>
      <c r="U21" s="274">
        <f>ROUND(VLOOKUP(MID($E21,4,3),'Wochentag F(WT)'!$B$7:$J$22,U$9,0),4)</f>
        <v>1.0108999999999999</v>
      </c>
      <c r="V21" s="274">
        <f>ROUND(VLOOKUP(MID($E21,4,3),'Wochentag F(WT)'!$B$7:$J$22,V$9,0),4)</f>
        <v>1.018</v>
      </c>
      <c r="W21" s="274">
        <f>ROUND(VLOOKUP(MID($E21,4,3),'Wochentag F(WT)'!$B$7:$J$22,W$9,0),4)</f>
        <v>1.0356000000000001</v>
      </c>
      <c r="X21" s="275">
        <f t="shared" si="2"/>
        <v>1.0106000000000002</v>
      </c>
      <c r="Y21" s="292"/>
      <c r="Z21" s="210"/>
    </row>
    <row r="22" spans="2:26" s="142" customFormat="1">
      <c r="B22" s="143">
        <v>11</v>
      </c>
      <c r="C22" s="144" t="str">
        <f t="shared" si="0"/>
        <v>Frankfurt (Oder)</v>
      </c>
      <c r="D22" s="62" t="s">
        <v>247</v>
      </c>
      <c r="E22" s="348" t="s">
        <v>669</v>
      </c>
      <c r="F22" s="296" t="str">
        <f>VLOOKUP($E22,'BDEW-Standard'!$B$3:$M$158,F$9,0)</f>
        <v>AB4</v>
      </c>
      <c r="H22" s="273">
        <f>ROUND(VLOOKUP($E22,'BDEW-Standard'!$B$3:$M$158,H$9,0),7)</f>
        <v>0.35376400000000002</v>
      </c>
      <c r="I22" s="273">
        <f>ROUND(VLOOKUP($E22,'BDEW-Standard'!$B$3:$M$158,I$9,0),7)</f>
        <v>-33.35</v>
      </c>
      <c r="J22" s="273">
        <f>ROUND(VLOOKUP($E22,'BDEW-Standard'!$B$3:$M$158,J$9,0),7)</f>
        <v>5.7212303000000002</v>
      </c>
      <c r="K22" s="273">
        <f>ROUND(VLOOKUP($E22,'BDEW-Standard'!$B$3:$M$158,K$9,0),7)</f>
        <v>0.3033305</v>
      </c>
      <c r="L22" s="337">
        <f>ROUND(VLOOKUP($E22,'BDEW-Standard'!$B$3:$M$158,L$9,0),1)</f>
        <v>40</v>
      </c>
      <c r="M22" s="273">
        <f>ROUND(VLOOKUP($E22,'BDEW-Standard'!$B$3:$M$158,M$9,0),7)</f>
        <v>-1.77463E-2</v>
      </c>
      <c r="N22" s="273">
        <f>ROUND(VLOOKUP($E22,'BDEW-Standard'!$B$3:$M$158,N$9,0),7)</f>
        <v>0.68256989999999995</v>
      </c>
      <c r="O22" s="273">
        <f>ROUND(VLOOKUP($E22,'BDEW-Standard'!$B$3:$M$158,O$9,0),7)</f>
        <v>-1.3912E-3</v>
      </c>
      <c r="P22" s="273">
        <f>ROUND(VLOOKUP($E22,'BDEW-Standard'!$B$3:$M$158,P$9,0),7)</f>
        <v>0.54346240000000001</v>
      </c>
      <c r="Q22" s="338">
        <f t="shared" si="1"/>
        <v>1.0000003335127634</v>
      </c>
      <c r="R22" s="274">
        <f>ROUND(VLOOKUP(MID($E22,4,3),'Wochentag F(WT)'!$B$7:$J$22,R$9,0),4)</f>
        <v>1.0848</v>
      </c>
      <c r="S22" s="274">
        <f>ROUND(VLOOKUP(MID($E22,4,3),'Wochentag F(WT)'!$B$7:$J$22,S$9,0),4)</f>
        <v>1.1211</v>
      </c>
      <c r="T22" s="274">
        <f>ROUND(VLOOKUP(MID($E22,4,3),'Wochentag F(WT)'!$B$7:$J$22,T$9,0),4)</f>
        <v>1.0769</v>
      </c>
      <c r="U22" s="274">
        <f>ROUND(VLOOKUP(MID($E22,4,3),'Wochentag F(WT)'!$B$7:$J$22,U$9,0),4)</f>
        <v>1.1353</v>
      </c>
      <c r="V22" s="274">
        <f>ROUND(VLOOKUP(MID($E22,4,3),'Wochentag F(WT)'!$B$7:$J$22,V$9,0),4)</f>
        <v>1.1402000000000001</v>
      </c>
      <c r="W22" s="274">
        <f>ROUND(VLOOKUP(MID($E22,4,3),'Wochentag F(WT)'!$B$7:$J$22,W$9,0),4)</f>
        <v>0.48520000000000002</v>
      </c>
      <c r="X22" s="275">
        <f t="shared" si="2"/>
        <v>0.95650000000000013</v>
      </c>
      <c r="Y22" s="292"/>
      <c r="Z22" s="210"/>
    </row>
    <row r="23" spans="2:26" s="142" customFormat="1">
      <c r="B23" s="143">
        <v>12</v>
      </c>
      <c r="C23" s="144" t="str">
        <f t="shared" si="0"/>
        <v>Frankfurt (Oder)</v>
      </c>
      <c r="D23" s="62" t="s">
        <v>247</v>
      </c>
      <c r="E23" s="164" t="s">
        <v>671</v>
      </c>
      <c r="F23" s="296" t="str">
        <f>VLOOKUP($E23,'BDEW-Standard'!$B$3:$M$158,F$9,0)</f>
        <v>AW4</v>
      </c>
      <c r="H23" s="273">
        <f>ROUND(VLOOKUP($E23,'BDEW-Standard'!$B$3:$M$158,H$9,0),7)</f>
        <v>0.39253389999999999</v>
      </c>
      <c r="I23" s="273">
        <f>ROUND(VLOOKUP($E23,'BDEW-Standard'!$B$3:$M$158,I$9,0),7)</f>
        <v>-35.299999999999997</v>
      </c>
      <c r="J23" s="273">
        <f>ROUND(VLOOKUP($E23,'BDEW-Standard'!$B$3:$M$158,J$9,0),7)</f>
        <v>4.8662747</v>
      </c>
      <c r="K23" s="273">
        <f>ROUND(VLOOKUP($E23,'BDEW-Standard'!$B$3:$M$158,K$9,0),7)</f>
        <v>0.3045099</v>
      </c>
      <c r="L23" s="337">
        <f>ROUND(VLOOKUP($E23,'BDEW-Standard'!$B$3:$M$158,L$9,0),1)</f>
        <v>40</v>
      </c>
      <c r="M23" s="273">
        <f>ROUND(VLOOKUP($E23,'BDEW-Standard'!$B$3:$M$158,M$9,0),7)</f>
        <v>-1.67993E-2</v>
      </c>
      <c r="N23" s="273">
        <f>ROUND(VLOOKUP($E23,'BDEW-Standard'!$B$3:$M$158,N$9,0),7)</f>
        <v>0.67108889999999999</v>
      </c>
      <c r="O23" s="273">
        <f>ROUND(VLOOKUP($E23,'BDEW-Standard'!$B$3:$M$158,O$9,0),7)</f>
        <v>-2.0301E-3</v>
      </c>
      <c r="P23" s="273">
        <f>ROUND(VLOOKUP($E23,'BDEW-Standard'!$B$3:$M$158,P$9,0),7)</f>
        <v>0.56146229999999997</v>
      </c>
      <c r="Q23" s="338">
        <f t="shared" si="1"/>
        <v>0.99999985965518789</v>
      </c>
      <c r="R23" s="274">
        <f>ROUND(VLOOKUP(MID($E23,4,3),'Wochentag F(WT)'!$B$7:$J$22,R$9,0),4)</f>
        <v>1.2457</v>
      </c>
      <c r="S23" s="274">
        <f>ROUND(VLOOKUP(MID($E23,4,3),'Wochentag F(WT)'!$B$7:$J$22,S$9,0),4)</f>
        <v>1.2615000000000001</v>
      </c>
      <c r="T23" s="274">
        <f>ROUND(VLOOKUP(MID($E23,4,3),'Wochentag F(WT)'!$B$7:$J$22,T$9,0),4)</f>
        <v>1.2706999999999999</v>
      </c>
      <c r="U23" s="274">
        <f>ROUND(VLOOKUP(MID($E23,4,3),'Wochentag F(WT)'!$B$7:$J$22,U$9,0),4)</f>
        <v>1.2430000000000001</v>
      </c>
      <c r="V23" s="274">
        <f>ROUND(VLOOKUP(MID($E23,4,3),'Wochentag F(WT)'!$B$7:$J$22,V$9,0),4)</f>
        <v>1.1275999999999999</v>
      </c>
      <c r="W23" s="274">
        <f>ROUND(VLOOKUP(MID($E23,4,3),'Wochentag F(WT)'!$B$7:$J$22,W$9,0),4)</f>
        <v>0.38769999999999999</v>
      </c>
      <c r="X23" s="275">
        <f t="shared" si="2"/>
        <v>0.46379999999999999</v>
      </c>
      <c r="Y23" s="292"/>
      <c r="Z23" s="210"/>
    </row>
    <row r="24" spans="2:26" s="142" customFormat="1">
      <c r="B24" s="143">
        <v>13</v>
      </c>
      <c r="C24" s="144" t="str">
        <f t="shared" si="0"/>
        <v>Frankfurt (Oder)</v>
      </c>
      <c r="D24" s="62" t="s">
        <v>247</v>
      </c>
      <c r="E24" s="164" t="s">
        <v>672</v>
      </c>
      <c r="F24" s="296" t="str">
        <f>VLOOKUP($E24,'BDEW-Standard'!$B$3:$M$158,F$9,0)</f>
        <v>BG4</v>
      </c>
      <c r="H24" s="273">
        <f>ROUND(VLOOKUP($E24,'BDEW-Standard'!$B$3:$M$158,H$9,0),7)</f>
        <v>1.6266811999999999</v>
      </c>
      <c r="I24" s="273">
        <f>ROUND(VLOOKUP($E24,'BDEW-Standard'!$B$3:$M$158,I$9,0),7)</f>
        <v>-37.882536799999997</v>
      </c>
      <c r="J24" s="273">
        <f>ROUND(VLOOKUP($E24,'BDEW-Standard'!$B$3:$M$158,J$9,0),7)</f>
        <v>6.9836070000000001</v>
      </c>
      <c r="K24" s="273">
        <f>ROUND(VLOOKUP($E24,'BDEW-Standard'!$B$3:$M$158,K$9,0),7)</f>
        <v>2.97136E-2</v>
      </c>
      <c r="L24" s="337">
        <f>ROUND(VLOOKUP($E24,'BDEW-Standard'!$B$3:$M$158,L$9,0),1)</f>
        <v>40</v>
      </c>
      <c r="M24" s="273">
        <f>ROUND(VLOOKUP($E24,'BDEW-Standard'!$B$3:$M$158,M$9,0),7)</f>
        <v>-8.5433300000000004E-2</v>
      </c>
      <c r="N24" s="273">
        <f>ROUND(VLOOKUP($E24,'BDEW-Standard'!$B$3:$M$158,N$9,0),7)</f>
        <v>1.2709629</v>
      </c>
      <c r="O24" s="273">
        <f>ROUND(VLOOKUP($E24,'BDEW-Standard'!$B$3:$M$158,O$9,0),7)</f>
        <v>-1.1318999999999999E-3</v>
      </c>
      <c r="P24" s="273">
        <f>ROUND(VLOOKUP($E24,'BDEW-Standard'!$B$3:$M$158,P$9,0),7)</f>
        <v>9.2812400000000003E-2</v>
      </c>
      <c r="Q24" s="338">
        <f t="shared" si="1"/>
        <v>0.99999990532820671</v>
      </c>
      <c r="R24" s="274">
        <f>ROUND(VLOOKUP(MID($E24,4,3),'Wochentag F(WT)'!$B$7:$J$22,R$9,0),4)</f>
        <v>0.98970000000000002</v>
      </c>
      <c r="S24" s="274">
        <f>ROUND(VLOOKUP(MID($E24,4,3),'Wochentag F(WT)'!$B$7:$J$22,S$9,0),4)</f>
        <v>0.9627</v>
      </c>
      <c r="T24" s="274">
        <f>ROUND(VLOOKUP(MID($E24,4,3),'Wochentag F(WT)'!$B$7:$J$22,T$9,0),4)</f>
        <v>1.0507</v>
      </c>
      <c r="U24" s="274">
        <f>ROUND(VLOOKUP(MID($E24,4,3),'Wochentag F(WT)'!$B$7:$J$22,U$9,0),4)</f>
        <v>1.0551999999999999</v>
      </c>
      <c r="V24" s="274">
        <f>ROUND(VLOOKUP(MID($E24,4,3),'Wochentag F(WT)'!$B$7:$J$22,V$9,0),4)</f>
        <v>1.0297000000000001</v>
      </c>
      <c r="W24" s="274">
        <f>ROUND(VLOOKUP(MID($E24,4,3),'Wochentag F(WT)'!$B$7:$J$22,W$9,0),4)</f>
        <v>0.97670000000000001</v>
      </c>
      <c r="X24" s="275">
        <f t="shared" si="2"/>
        <v>0.9352999999999998</v>
      </c>
      <c r="Y24" s="292"/>
      <c r="Z24" s="210"/>
    </row>
    <row r="25" spans="2:26" s="142" customFormat="1">
      <c r="B25" s="143">
        <v>14</v>
      </c>
      <c r="C25" s="144" t="str">
        <f t="shared" si="0"/>
        <v>Frankfurt (Oder)</v>
      </c>
      <c r="D25" s="62" t="s">
        <v>247</v>
      </c>
      <c r="E25" s="164" t="s">
        <v>673</v>
      </c>
      <c r="F25" s="296" t="str">
        <f>VLOOKUP($E25,'BDEW-Standard'!$B$3:$M$158,F$9,0)</f>
        <v>FM4</v>
      </c>
      <c r="H25" s="273">
        <f>ROUND(VLOOKUP($E25,'BDEW-Standard'!$B$3:$M$158,H$9,0),7)</f>
        <v>1.0443538000000001</v>
      </c>
      <c r="I25" s="273">
        <f>ROUND(VLOOKUP($E25,'BDEW-Standard'!$B$3:$M$158,I$9,0),7)</f>
        <v>-35.033375399999997</v>
      </c>
      <c r="J25" s="273">
        <f>ROUND(VLOOKUP($E25,'BDEW-Standard'!$B$3:$M$158,J$9,0),7)</f>
        <v>6.2240634000000004</v>
      </c>
      <c r="K25" s="273">
        <f>ROUND(VLOOKUP($E25,'BDEW-Standard'!$B$3:$M$158,K$9,0),7)</f>
        <v>5.0291700000000002E-2</v>
      </c>
      <c r="L25" s="337">
        <f>ROUND(VLOOKUP($E25,'BDEW-Standard'!$B$3:$M$158,L$9,0),1)</f>
        <v>40</v>
      </c>
      <c r="M25" s="273">
        <f>ROUND(VLOOKUP($E25,'BDEW-Standard'!$B$3:$M$158,M$9,0),7)</f>
        <v>-5.3582999999999999E-2</v>
      </c>
      <c r="N25" s="273">
        <f>ROUND(VLOOKUP($E25,'BDEW-Standard'!$B$3:$M$158,N$9,0),7)</f>
        <v>0.99959010000000004</v>
      </c>
      <c r="O25" s="273">
        <f>ROUND(VLOOKUP($E25,'BDEW-Standard'!$B$3:$M$158,O$9,0),7)</f>
        <v>-2.1757999999999999E-3</v>
      </c>
      <c r="P25" s="273">
        <f>ROUND(VLOOKUP($E25,'BDEW-Standard'!$B$3:$M$158,P$9,0),7)</f>
        <v>0.1633299</v>
      </c>
      <c r="Q25" s="338">
        <f t="shared" si="1"/>
        <v>1.0000001838008261</v>
      </c>
      <c r="R25" s="274">
        <f>ROUND(VLOOKUP(MID($E25,4,3),'Wochentag F(WT)'!$B$7:$J$22,R$9,0),4)</f>
        <v>1.0354000000000001</v>
      </c>
      <c r="S25" s="274">
        <f>ROUND(VLOOKUP(MID($E25,4,3),'Wochentag F(WT)'!$B$7:$J$22,S$9,0),4)</f>
        <v>1.0523</v>
      </c>
      <c r="T25" s="274">
        <f>ROUND(VLOOKUP(MID($E25,4,3),'Wochentag F(WT)'!$B$7:$J$22,T$9,0),4)</f>
        <v>1.0448999999999999</v>
      </c>
      <c r="U25" s="274">
        <f>ROUND(VLOOKUP(MID($E25,4,3),'Wochentag F(WT)'!$B$7:$J$22,U$9,0),4)</f>
        <v>1.0494000000000001</v>
      </c>
      <c r="V25" s="274">
        <f>ROUND(VLOOKUP(MID($E25,4,3),'Wochentag F(WT)'!$B$7:$J$22,V$9,0),4)</f>
        <v>0.98850000000000005</v>
      </c>
      <c r="W25" s="274">
        <f>ROUND(VLOOKUP(MID($E25,4,3),'Wochentag F(WT)'!$B$7:$J$22,W$9,0),4)</f>
        <v>0.88600000000000001</v>
      </c>
      <c r="X25" s="275">
        <f t="shared" si="2"/>
        <v>0.94349999999999934</v>
      </c>
      <c r="Y25" s="292"/>
      <c r="Z25" s="210"/>
    </row>
    <row r="26" spans="2:26" s="142" customFormat="1">
      <c r="B26" s="143">
        <v>15</v>
      </c>
      <c r="C26" s="144" t="str">
        <f t="shared" si="0"/>
        <v>Frankfurt (Oder)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Frankfurt (Oder)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Frankfurt (Oder)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Frankfurt (Oder)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Frankfurt (Oder)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Frankfurt (Oder)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Frankfurt (Oder)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Frankfurt (Oder)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Frankfurt (Oder)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Frankfurt (Oder)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Frankfurt (Oder)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Frankfurt (Oder)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Frankfurt (Oder)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Frankfurt (Oder)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Frankfurt (Oder)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Frankfurt (Oder)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5" orientation="landscape" r:id="rId1"/>
  <ignoredErrors>
    <ignoredError sqref="L11" formula="1"/>
    <ignoredError sqref="C13:C33 C34:C41 Q12:X25 F12:P25 G2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abSelected="1" topLeftCell="H10" zoomScale="80" zoomScaleNormal="80" workbookViewId="0">
      <selection activeCell="C29" sqref="C29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Netzgesellschaft Frankfurt (Oder) mbH</v>
      </c>
      <c r="D4" s="76"/>
      <c r="G4" s="76"/>
      <c r="I4" s="76"/>
      <c r="J4" s="77"/>
      <c r="M4" s="86" t="s">
        <v>535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Frankfurt (Oder)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9870096300008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43009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4" t="s">
        <v>458</v>
      </c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427</v>
      </c>
    </row>
    <row r="10" spans="2:30" ht="72" customHeight="1" thickBot="1">
      <c r="B10" s="359" t="s">
        <v>579</v>
      </c>
      <c r="C10" s="360"/>
      <c r="D10" s="94">
        <v>2</v>
      </c>
      <c r="E10" s="95" t="str">
        <f>IF(ISERROR(HLOOKUP(E$11,$M$9:$AD$33,$D10,0)),"",HLOOKUP(E$11,$M$9:$AD$33,$D10,0))</f>
        <v/>
      </c>
      <c r="F10" s="357" t="s">
        <v>398</v>
      </c>
      <c r="G10" s="357"/>
      <c r="H10" s="357"/>
      <c r="I10" s="357"/>
      <c r="J10" s="357"/>
      <c r="K10" s="357"/>
      <c r="L10" s="358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428</v>
      </c>
    </row>
    <row r="11" spans="2:30" ht="15.75" thickBot="1">
      <c r="B11" s="102" t="s">
        <v>419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3">
        <f>MIN(SUMPRODUCT($M$11:$AD$11,M12:AD12),1)</f>
        <v>1</v>
      </c>
      <c r="F12" s="300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400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401</v>
      </c>
      <c r="C14" s="116"/>
      <c r="D14" s="111">
        <v>6</v>
      </c>
      <c r="E14" s="304">
        <f t="shared" si="0"/>
        <v>0</v>
      </c>
      <c r="F14" s="301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652</v>
      </c>
      <c r="C15" s="116"/>
      <c r="D15" s="111">
        <v>7</v>
      </c>
      <c r="E15" s="304">
        <f t="shared" si="0"/>
        <v>0</v>
      </c>
      <c r="F15" s="301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414</v>
      </c>
      <c r="C16" s="116"/>
      <c r="D16" s="111">
        <v>8</v>
      </c>
      <c r="E16" s="304">
        <f t="shared" si="0"/>
        <v>1</v>
      </c>
      <c r="F16" s="301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415</v>
      </c>
      <c r="C17" s="116"/>
      <c r="D17" s="111">
        <v>9</v>
      </c>
      <c r="E17" s="304">
        <f t="shared" si="0"/>
        <v>1</v>
      </c>
      <c r="F17" s="301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416</v>
      </c>
      <c r="C18" s="116"/>
      <c r="D18" s="111">
        <v>10</v>
      </c>
      <c r="E18" s="304">
        <f t="shared" si="0"/>
        <v>1</v>
      </c>
      <c r="F18" s="301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403</v>
      </c>
      <c r="C19" s="116"/>
      <c r="D19" s="111">
        <v>11</v>
      </c>
      <c r="E19" s="304">
        <f t="shared" si="0"/>
        <v>1</v>
      </c>
      <c r="F19" s="301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645</v>
      </c>
      <c r="C20" s="116"/>
      <c r="D20" s="111">
        <v>12</v>
      </c>
      <c r="E20" s="304">
        <f t="shared" si="0"/>
        <v>1</v>
      </c>
      <c r="F20" s="301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417</v>
      </c>
      <c r="C21" s="116"/>
      <c r="D21" s="111">
        <v>13</v>
      </c>
      <c r="E21" s="304">
        <f t="shared" si="0"/>
        <v>1</v>
      </c>
      <c r="F21" s="301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418</v>
      </c>
      <c r="C22" s="116"/>
      <c r="D22" s="111">
        <v>14</v>
      </c>
      <c r="E22" s="304">
        <f t="shared" si="0"/>
        <v>1</v>
      </c>
      <c r="F22" s="301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651</v>
      </c>
      <c r="C23" s="116"/>
      <c r="D23" s="111">
        <v>15</v>
      </c>
      <c r="E23" s="304">
        <f t="shared" si="0"/>
        <v>0</v>
      </c>
      <c r="F23" s="301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404</v>
      </c>
      <c r="C24" s="116"/>
      <c r="D24" s="111">
        <v>16</v>
      </c>
      <c r="E24" s="304">
        <f t="shared" si="0"/>
        <v>0</v>
      </c>
      <c r="F24" s="301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405</v>
      </c>
      <c r="C25" s="116"/>
      <c r="D25" s="111">
        <v>17</v>
      </c>
      <c r="E25" s="304">
        <f t="shared" si="0"/>
        <v>0</v>
      </c>
      <c r="F25" s="301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406</v>
      </c>
      <c r="C26" s="116"/>
      <c r="D26" s="111">
        <v>18</v>
      </c>
      <c r="E26" s="304">
        <f t="shared" si="0"/>
        <v>1</v>
      </c>
      <c r="F26" s="301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407</v>
      </c>
      <c r="C27" s="116"/>
      <c r="D27" s="111">
        <v>19</v>
      </c>
      <c r="E27" s="304">
        <f t="shared" si="0"/>
        <v>0</v>
      </c>
      <c r="F27" s="301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>
        <v>1</v>
      </c>
    </row>
    <row r="28" spans="2:30" ht="15">
      <c r="B28" s="115" t="s">
        <v>408</v>
      </c>
      <c r="C28" s="116"/>
      <c r="D28" s="111">
        <v>20</v>
      </c>
      <c r="E28" s="304">
        <f t="shared" si="0"/>
        <v>0</v>
      </c>
      <c r="F28" s="301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409</v>
      </c>
      <c r="C29" s="116"/>
      <c r="D29" s="111">
        <v>21</v>
      </c>
      <c r="E29" s="304">
        <f t="shared" si="0"/>
        <v>0</v>
      </c>
      <c r="F29" s="301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410</v>
      </c>
      <c r="C30" s="116"/>
      <c r="D30" s="111">
        <v>22</v>
      </c>
      <c r="E30" s="304">
        <f t="shared" si="0"/>
        <v>0</v>
      </c>
      <c r="F30" s="301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411</v>
      </c>
      <c r="C31" s="116"/>
      <c r="D31" s="111">
        <v>23</v>
      </c>
      <c r="E31" s="304">
        <f t="shared" si="0"/>
        <v>1</v>
      </c>
      <c r="F31" s="301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412</v>
      </c>
      <c r="C32" s="116"/>
      <c r="D32" s="111">
        <v>24</v>
      </c>
      <c r="E32" s="304">
        <f t="shared" si="0"/>
        <v>1</v>
      </c>
      <c r="F32" s="301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413</v>
      </c>
      <c r="C33" s="122"/>
      <c r="D33" s="123">
        <v>25</v>
      </c>
      <c r="E33" s="305">
        <f t="shared" si="0"/>
        <v>0</v>
      </c>
      <c r="F33" s="302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347</v>
      </c>
      <c r="B1" s="212">
        <v>42173</v>
      </c>
      <c r="D1" s="130" t="s">
        <v>454</v>
      </c>
      <c r="F1" s="213" t="s">
        <v>541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648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455</v>
      </c>
      <c r="B1" s="127"/>
      <c r="D1" s="213" t="s">
        <v>541</v>
      </c>
    </row>
    <row r="2" spans="1:16">
      <c r="A2" s="233"/>
      <c r="B2" s="232" t="s">
        <v>456</v>
      </c>
    </row>
    <row r="3" spans="1:16" ht="20.100000000000001" customHeight="1">
      <c r="A3" s="361" t="s">
        <v>248</v>
      </c>
      <c r="B3" s="234" t="s">
        <v>86</v>
      </c>
      <c r="C3" s="235"/>
      <c r="D3" s="363" t="s">
        <v>457</v>
      </c>
      <c r="E3" s="364"/>
      <c r="F3" s="364"/>
      <c r="G3" s="364"/>
      <c r="H3" s="364"/>
      <c r="I3" s="364"/>
      <c r="J3" s="365"/>
      <c r="K3" s="236"/>
      <c r="L3" s="236"/>
      <c r="M3" s="236"/>
      <c r="N3" s="236"/>
      <c r="O3" s="237"/>
      <c r="P3" s="236"/>
    </row>
    <row r="4" spans="1:16" ht="20.100000000000001" customHeight="1">
      <c r="A4" s="362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368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368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Konieczek  Hans-Ulrich</cp:lastModifiedBy>
  <cp:lastPrinted>2017-08-11T11:27:10Z</cp:lastPrinted>
  <dcterms:created xsi:type="dcterms:W3CDTF">2015-01-15T05:25:41Z</dcterms:created>
  <dcterms:modified xsi:type="dcterms:W3CDTF">2017-08-11T11:27:45Z</dcterms:modified>
</cp:coreProperties>
</file>