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N\alle_N\Netze Gas\Veröffentlichungen\"/>
    </mc:Choice>
  </mc:AlternateContent>
  <xr:revisionPtr revIDLastSave="0" documentId="8_{CD56A81D-6880-45D3-B735-E6948FFCD1AE}" xr6:coauthVersionLast="36" xr6:coauthVersionMax="36" xr10:uidLastSave="{00000000-0000-0000-0000-000000000000}"/>
  <bookViews>
    <workbookView xWindow="0" yWindow="0" windowWidth="27876" windowHeight="1362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C41" i="7" l="1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W25" i="7"/>
  <c r="V25" i="7"/>
  <c r="U25" i="7"/>
  <c r="T25" i="7"/>
  <c r="S25" i="7"/>
  <c r="R25" i="7"/>
  <c r="X25" i="7" s="1"/>
  <c r="P25" i="7"/>
  <c r="O25" i="7"/>
  <c r="N25" i="7"/>
  <c r="M25" i="7"/>
  <c r="L25" i="7"/>
  <c r="K25" i="7"/>
  <c r="J25" i="7"/>
  <c r="I25" i="7"/>
  <c r="H25" i="7"/>
  <c r="Q25" i="7" s="1"/>
  <c r="F25" i="7"/>
  <c r="C25" i="7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H24" i="7"/>
  <c r="Q24" i="7" s="1"/>
  <c r="F24" i="7"/>
  <c r="C24" i="7"/>
  <c r="W23" i="7"/>
  <c r="V23" i="7"/>
  <c r="U23" i="7"/>
  <c r="X23" i="7" s="1"/>
  <c r="T23" i="7"/>
  <c r="S23" i="7"/>
  <c r="R23" i="7"/>
  <c r="P23" i="7"/>
  <c r="O23" i="7"/>
  <c r="N23" i="7"/>
  <c r="M23" i="7"/>
  <c r="L23" i="7"/>
  <c r="K23" i="7"/>
  <c r="J23" i="7"/>
  <c r="I23" i="7"/>
  <c r="H23" i="7"/>
  <c r="Q23" i="7" s="1"/>
  <c r="F23" i="7"/>
  <c r="C23" i="7"/>
  <c r="X22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Q22" i="7" s="1"/>
  <c r="F22" i="7"/>
  <c r="C22" i="7"/>
  <c r="W21" i="7"/>
  <c r="V21" i="7"/>
  <c r="U21" i="7"/>
  <c r="T21" i="7"/>
  <c r="S21" i="7"/>
  <c r="X21" i="7" s="1"/>
  <c r="R21" i="7"/>
  <c r="P21" i="7"/>
  <c r="O21" i="7"/>
  <c r="N21" i="7"/>
  <c r="M21" i="7"/>
  <c r="L21" i="7"/>
  <c r="K21" i="7"/>
  <c r="J21" i="7"/>
  <c r="I21" i="7"/>
  <c r="H21" i="7"/>
  <c r="Q21" i="7" s="1"/>
  <c r="F21" i="7"/>
  <c r="C21" i="7"/>
  <c r="W20" i="7"/>
  <c r="V20" i="7"/>
  <c r="U20" i="7"/>
  <c r="T20" i="7"/>
  <c r="S20" i="7"/>
  <c r="R20" i="7"/>
  <c r="X20" i="7" s="1"/>
  <c r="P20" i="7"/>
  <c r="O20" i="7"/>
  <c r="N20" i="7"/>
  <c r="M20" i="7"/>
  <c r="L20" i="7"/>
  <c r="K20" i="7"/>
  <c r="J20" i="7"/>
  <c r="I20" i="7"/>
  <c r="Q20" i="7" s="1"/>
  <c r="H20" i="7"/>
  <c r="F20" i="7"/>
  <c r="C20" i="7"/>
  <c r="W19" i="7"/>
  <c r="V19" i="7"/>
  <c r="U19" i="7"/>
  <c r="T19" i="7"/>
  <c r="S19" i="7"/>
  <c r="R19" i="7"/>
  <c r="X19" i="7" s="1"/>
  <c r="P19" i="7"/>
  <c r="O19" i="7"/>
  <c r="N19" i="7"/>
  <c r="M19" i="7"/>
  <c r="L19" i="7"/>
  <c r="K19" i="7"/>
  <c r="J19" i="7"/>
  <c r="I19" i="7"/>
  <c r="Q19" i="7" s="1"/>
  <c r="H19" i="7"/>
  <c r="F19" i="7"/>
  <c r="C19" i="7"/>
  <c r="W18" i="7"/>
  <c r="V18" i="7"/>
  <c r="U18" i="7"/>
  <c r="T18" i="7"/>
  <c r="X18" i="7" s="1"/>
  <c r="S18" i="7"/>
  <c r="R18" i="7"/>
  <c r="P18" i="7"/>
  <c r="O18" i="7"/>
  <c r="N18" i="7"/>
  <c r="M18" i="7"/>
  <c r="L18" i="7"/>
  <c r="K18" i="7"/>
  <c r="J18" i="7"/>
  <c r="I18" i="7"/>
  <c r="H18" i="7"/>
  <c r="Q18" i="7" s="1"/>
  <c r="F18" i="7"/>
  <c r="C18" i="7"/>
  <c r="W17" i="7"/>
  <c r="V17" i="7"/>
  <c r="U17" i="7"/>
  <c r="T17" i="7"/>
  <c r="S17" i="7"/>
  <c r="R17" i="7"/>
  <c r="X17" i="7" s="1"/>
  <c r="P17" i="7"/>
  <c r="O17" i="7"/>
  <c r="N17" i="7"/>
  <c r="M17" i="7"/>
  <c r="L17" i="7"/>
  <c r="K17" i="7"/>
  <c r="J17" i="7"/>
  <c r="I17" i="7"/>
  <c r="Q17" i="7" s="1"/>
  <c r="H17" i="7"/>
  <c r="F17" i="7"/>
  <c r="C17" i="7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H16" i="7"/>
  <c r="Q16" i="7" s="1"/>
  <c r="F16" i="7"/>
  <c r="C16" i="7"/>
  <c r="W15" i="7"/>
  <c r="V15" i="7"/>
  <c r="U15" i="7"/>
  <c r="X15" i="7" s="1"/>
  <c r="T15" i="7"/>
  <c r="S15" i="7"/>
  <c r="R15" i="7"/>
  <c r="P15" i="7"/>
  <c r="O15" i="7"/>
  <c r="N15" i="7"/>
  <c r="M15" i="7"/>
  <c r="L15" i="7"/>
  <c r="K15" i="7"/>
  <c r="J15" i="7"/>
  <c r="I15" i="7"/>
  <c r="H15" i="7"/>
  <c r="Q15" i="7" s="1"/>
  <c r="F15" i="7"/>
  <c r="C15" i="7"/>
  <c r="X14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Q14" i="7" s="1"/>
  <c r="F14" i="7"/>
  <c r="C14" i="7"/>
  <c r="W13" i="7"/>
  <c r="V13" i="7"/>
  <c r="U13" i="7"/>
  <c r="T13" i="7"/>
  <c r="S13" i="7"/>
  <c r="X13" i="7" s="1"/>
  <c r="R13" i="7"/>
  <c r="P13" i="7"/>
  <c r="O13" i="7"/>
  <c r="N13" i="7"/>
  <c r="M13" i="7"/>
  <c r="L13" i="7"/>
  <c r="K13" i="7"/>
  <c r="J13" i="7"/>
  <c r="I13" i="7"/>
  <c r="H13" i="7"/>
  <c r="Q13" i="7" s="1"/>
  <c r="F13" i="7"/>
  <c r="C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Q12" i="7" s="1"/>
  <c r="H12" i="7"/>
  <c r="F12" i="7"/>
  <c r="C12" i="7"/>
  <c r="E4" i="17" l="1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<sst xmlns="http://schemas.openxmlformats.org/spreadsheetml/2006/main" count="1394" uniqueCount="681">
  <si>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</si>
  <si>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</si>
  <si>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</si>
  <si>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</si>
  <si>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</si>
  <si>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</si>
  <si>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</si>
  <si>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</si>
  <si>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</si>
  <si>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</si>
  <si>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</si>
  <si>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</si>
  <si>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</si>
  <si>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</si>
  <si>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</si>
  <si>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</si>
  <si>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</si>
  <si>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</si>
  <si>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</si>
  <si>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</si>
  <si>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</si>
  <si>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</si>
  <si>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</si>
  <si>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</si>
  <si>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</si>
  <si>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</si>
  <si>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</si>
  <si>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</si>
  <si>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</si>
  <si>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</si>
  <si>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</si>
  <si>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</si>
  <si>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</si>
  <si>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</si>
  <si>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</si>
  <si>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</si>
  <si>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</si>
  <si>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</si>
  <si>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</si>
  <si>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</si>
  <si>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</si>
  <si>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</si>
  <si>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</si>
  <si>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</si>
  <si>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</si>
  <si>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</si>
  <si>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</si>
  <si>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</si>
  <si>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</si>
  <si>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</si>
  <si>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</si>
  <si>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</si>
  <si>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</si>
  <si>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</si>
  <si>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</si>
  <si>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</si>
  <si>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</si>
  <si>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</si>
  <si>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</si>
  <si>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</si>
  <si>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</si>
  <si>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</si>
  <si>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</si>
  <si>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</si>
  <si>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</si>
  <si>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</si>
  <si>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</si>
  <si>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</si>
  <si>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</si>
  <si>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</si>
  <si>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</si>
  <si>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</si>
  <si>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</si>
  <si>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</si>
  <si>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</si>
  <si>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</si>
  <si>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</si>
  <si>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</si>
  <si>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</si>
  <si>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</si>
  <si>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</si>
  <si>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</si>
  <si>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</si>
  <si>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</si>
  <si>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</si>
  <si>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</si>
  <si>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</si>
  <si>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</si>
  <si>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</si>
  <si>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</si>
  <si>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</si>
  <si>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</si>
  <si>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</si>
  <si>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</si>
  <si>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</si>
  <si>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</si>
  <si>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</si>
  <si>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</si>
  <si>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</si>
  <si>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</si>
  <si>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</si>
  <si>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</si>
  <si>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</si>
  <si>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</si>
  <si>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</si>
  <si>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</si>
  <si>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</si>
  <si>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</si>
  <si>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</si>
  <si>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</si>
  <si>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</si>
  <si>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</si>
  <si>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</si>
  <si>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</si>
  <si>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</si>
  <si>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</si>
  <si>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</si>
  <si>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</si>
  <si>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</si>
  <si>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</si>
  <si>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</si>
  <si>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</si>
  <si>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</si>
  <si>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</si>
  <si>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</si>
  <si>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</si>
  <si>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</si>
  <si>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</si>
  <si>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</si>
  <si>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</si>
  <si>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</si>
  <si>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</si>
  <si>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</si>
  <si>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</si>
  <si>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</si>
  <si>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</si>
  <si>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</si>
  <si>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</si>
  <si>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</si>
  <si>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</si>
  <si>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</si>
  <si>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</si>
  <si>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</si>
  <si>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</si>
  <si>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</si>
  <si>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</si>
  <si>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</si>
  <si>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</si>
  <si>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</si>
  <si>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</si>
  <si>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</si>
  <si>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</si>
  <si>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</si>
  <si>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</si>
  <si>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</si>
  <si>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</si>
  <si>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</si>
  <si>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</si>
  <si>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</si>
  <si>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</si>
  <si>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</si>
  <si>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</si>
  <si>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</si>
  <si>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</si>
  <si>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</si>
  <si>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</si>
  <si>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</si>
  <si>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</si>
  <si>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</si>
  <si>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</si>
  <si>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</si>
  <si>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</si>
  <si>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</si>
  <si>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</si>
  <si>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</si>
  <si>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</si>
  <si>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</si>
  <si>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</si>
  <si>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</si>
  <si>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</si>
  <si>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</si>
  <si>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</si>
  <si>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</si>
  <si>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</si>
  <si>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</si>
  <si>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</si>
  <si>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</si>
  <si>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</si>
  <si>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</si>
  <si>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</si>
  <si>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</si>
  <si>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</si>
  <si>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</si>
  <si>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</si>
  <si>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</si>
  <si>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</si>
  <si>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</si>
  <si>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</si>
  <si>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</si>
  <si>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</si>
  <si>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</si>
  <si>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</si>
  <si>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</si>
  <si>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</si>
  <si>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</si>
  <si>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</si>
  <si>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</si>
  <si>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</si>
  <si>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</si>
  <si>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</si>
  <si>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</si>
  <si>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</si>
  <si>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</si>
  <si>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</si>
  <si>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</si>
  <si>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</si>
  <si>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</si>
  <si>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</si>
  <si>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</si>
  <si>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</si>
  <si>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</si>
  <si>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</si>
  <si>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</si>
  <si>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</si>
  <si>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</si>
  <si>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</si>
  <si>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</si>
  <si>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</si>
  <si>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</si>
  <si>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</si>
  <si>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</si>
  <si>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</si>
  <si>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</si>
  <si>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</si>
  <si>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</si>
  <si>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</si>
  <si>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</si>
  <si>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</si>
  <si>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</si>
  <si>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</si>
  <si>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</si>
  <si>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</si>
  <si>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</si>
  <si>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</si>
  <si>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</si>
  <si>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</si>
  <si>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</si>
  <si>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</si>
  <si>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</si>
  <si>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</si>
  <si>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</si>
  <si>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</si>
  <si>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</si>
  <si>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</si>
  <si>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</si>
  <si>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</si>
  <si>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</si>
  <si>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</si>
  <si>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</si>
  <si>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</si>
  <si>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</si>
  <si>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</si>
  <si>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</si>
  <si>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</si>
  <si>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</si>
  <si>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</si>
  <si>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</si>
  <si>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</si>
  <si>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</si>
  <si>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</si>
  <si>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</si>
  <si>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</si>
  <si>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</si>
  <si>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</si>
  <si>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</si>
  <si>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</si>
  <si>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</si>
  <si>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</si>
  <si>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</si>
  <si>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</si>
  <si>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</si>
  <si>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</si>
  <si>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</si>
  <si>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</si>
  <si>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</si>
  <si>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</si>
  <si>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</si>
  <si>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</si>
  <si>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</si>
  <si>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</si>
  <si>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</si>
  <si>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</si>
  <si>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</si>
  <si>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</si>
  <si>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</si>
  <si>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</si>
  <si>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</si>
  <si>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</si>
  <si>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</si>
  <si>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</si>
  <si>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</si>
  <si>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</si>
  <si>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</si>
  <si>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</si>
  <si>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</si>
  <si>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</si>
  <si>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</si>
  <si>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</si>
  <si>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</si>
  <si>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</si>
  <si>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</si>
  <si>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</si>
  <si>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</si>
  <si>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</si>
  <si>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</si>
  <si>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</si>
  <si>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</si>
  <si>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</si>
  <si>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</si>
  <si>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</si>
  <si>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</si>
  <si>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</si>
  <si>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</si>
  <si>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</si>
  <si>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</si>
  <si>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</si>
  <si>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</si>
  <si>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</si>
  <si>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</si>
  <si>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</si>
  <si>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</si>
  <si>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</si>
  <si>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</si>
  <si>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</si>
  <si>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</si>
  <si>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</si>
  <si>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</si>
  <si>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</si>
  <si>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</si>
  <si>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</si>
  <si>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</si>
  <si>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</si>
  <si>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</si>
  <si>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</si>
  <si>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</si>
  <si>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</si>
  <si>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</si>
  <si>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</si>
  <si>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</si>
  <si>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</si>
  <si>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</si>
  <si>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</si>
  <si>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</si>
  <si>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</si>
  <si>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</si>
  <si>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</si>
  <si>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</si>
  <si>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</si>
  <si>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</si>
  <si>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</si>
  <si>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</si>
  <si>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</si>
  <si>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</si>
  <si>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</si>
  <si>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</si>
  <si>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</si>
  <si>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</si>
  <si>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</si>
  <si>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</si>
  <si>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</si>
  <si>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</si>
  <si>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</si>
  <si>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</si>
  <si>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</si>
  <si>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</si>
  <si>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</si>
  <si>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</si>
  <si>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</si>
  <si>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</si>
  <si>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</si>
  <si>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</si>
  <si>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</si>
  <si>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</si>
  <si>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</si>
  <si>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</si>
  <si>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</si>
  <si>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</si>
  <si>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</si>
  <si>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</si>
  <si>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</si>
  <si>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</si>
  <si>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</si>
  <si>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</si>
  <si>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</si>
  <si>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</si>
  <si>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</si>
  <si>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</si>
  <si>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</si>
  <si>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</si>
  <si>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</si>
  <si>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</si>
  <si>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</si>
  <si>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</si>
  <si>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</si>
  <si>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</si>
  <si>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</si>
  <si>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</si>
  <si>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</si>
  <si>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</si>
  <si>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</si>
  <si>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</si>
  <si>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</si>
  <si>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</si>
  <si>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</si>
  <si>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</si>
  <si>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</si>
  <si>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</si>
  <si>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</si>
  <si>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</si>
  <si>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</si>
  <si>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</si>
  <si>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</si>
  <si>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</si>
  <si>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</si>
  <si>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</si>
  <si>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</si>
  <si>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</si>
  <si>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</si>
  <si>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</si>
  <si>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</si>
  <si>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</si>
  <si>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</si>
  <si>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</si>
  <si>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</si>
  <si>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</si>
  <si>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</si>
  <si>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</si>
  <si>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</si>
  <si>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</si>
  <si>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</si>
  <si>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</si>
  <si>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</si>
  <si>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</si>
  <si>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</si>
  <si>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</si>
  <si>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</si>
  <si>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</si>
  <si>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</si>
  <si>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</si>
  <si>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</si>
  <si>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</si>
  <si>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</si>
  <si>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</si>
  <si>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</si>
  <si>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</si>
  <si>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</si>
  <si>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</si>
  <si>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</si>
  <si>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</si>
  <si>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</si>
  <si>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</si>
  <si>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</si>
  <si>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</si>
  <si>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</si>
  <si>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</si>
  <si>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</si>
  <si>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</si>
  <si>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</si>
  <si>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</si>
  <si>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</si>
  <si>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</si>
  <si>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</si>
  <si>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</si>
  <si>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</si>
  <si>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</si>
  <si>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</si>
  <si>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</si>
  <si>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</si>
  <si>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</si>
  <si>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</si>
  <si>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</si>
  <si>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</si>
  <si>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</si>
  <si>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</si>
  <si>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</si>
  <si>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</si>
  <si>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</si>
  <si>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</si>
  <si>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</si>
  <si>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</si>
  <si>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</si>
  <si>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</si>
  <si>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</si>
  <si>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</si>
  <si>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</si>
  <si>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</si>
  <si>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</si>
  <si>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</si>
  <si>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</si>
  <si>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</si>
  <si>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</si>
  <si>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</si>
  <si>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</si>
  <si>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</si>
  <si>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</si>
  <si>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</si>
  <si>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</si>
  <si>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</si>
  <si>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</si>
  <si>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</si>
  <si>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</si>
  <si>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</si>
  <si>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</si>
  <si>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</si>
  <si>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</si>
  <si>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</si>
  <si>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</si>
  <si>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</si>
  <si>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</si>
  <si>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</si>
  <si>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</si>
  <si>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</si>
  <si>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</si>
  <si>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</si>
  <si>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</si>
  <si>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</si>
  <si>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</si>
  <si>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</si>
  <si>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</si>
  <si>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</si>
  <si>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</si>
  <si>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</si>
  <si>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</si>
  <si>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</si>
  <si>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</si>
  <si>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</si>
  <si>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</si>
  <si>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</si>
  <si>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</si>
  <si>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</si>
  <si>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</si>
  <si>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</si>
  <si>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</si>
  <si>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</si>
  <si>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</si>
  <si>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</si>
  <si>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</si>
  <si>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</si>
  <si>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</si>
  <si>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</si>
  <si>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</si>
  <si>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</si>
  <si>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</si>
  <si>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</si>
  <si>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</si>
  <si>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</si>
  <si>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</si>
  <si>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</si>
  <si>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</si>
  <si>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</si>
  <si>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</si>
  <si>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</si>
  <si>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</si>
  <si>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</si>
  <si>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</si>
  <si>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</si>
  <si>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</si>
  <si>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</si>
  <si>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</si>
  <si>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</si>
  <si>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</si>
  <si>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</si>
  <si>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</si>
  <si>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</si>
  <si>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</si>
  <si>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</si>
  <si>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</si>
  <si>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</si>
  <si>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</si>
  <si>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</si>
  <si>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</si>
  <si>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</si>
  <si>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</si>
  <si>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</si>
  <si>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</si>
  <si>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</si>
  <si>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</si>
  <si>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</si>
  <si>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</si>
  <si>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</si>
  <si>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</si>
  <si>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</si>
  <si>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</si>
  <si>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</si>
  <si>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</si>
  <si>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</si>
  <si>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</si>
  <si>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</si>
  <si>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</si>
  <si>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</si>
  <si>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</si>
  <si>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</si>
  <si>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</si>
  <si>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</si>
  <si>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</si>
  <si>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</si>
  <si>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</si>
  <si>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</si>
  <si>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</si>
  <si>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</si>
  <si>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</si>
  <si>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</si>
  <si>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</si>
  <si>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</si>
  <si>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</si>
  <si>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</si>
  <si>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</si>
  <si>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</si>
  <si>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</si>
  <si>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</si>
  <si>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</si>
  <si>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</si>
  <si>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</si>
  <si>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</si>
  <si>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</si>
  <si>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</si>
  <si>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</si>
  <si>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</si>
  <si>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</si>
  <si>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</si>
  <si>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</si>
  <si>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</si>
  <si>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</si>
  <si>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</si>
  <si>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</si>
  <si>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</si>
  <si>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</si>
  <si>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</si>
  <si>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</si>
  <si>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</si>
  <si>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</si>
  <si>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</si>
  <si>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</si>
  <si>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</si>
  <si>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</si>
  <si>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</si>
  <si>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</si>
  <si>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</si>
  <si>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</si>
  <si>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</si>
  <si>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</si>
  <si>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</si>
  <si>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</si>
  <si>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</si>
  <si>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</si>
  <si>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</si>
  <si>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</si>
  <si>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&lt;  1.500.000 kWh</t>
  </si>
  <si>
    <t>&lt;  500 kW</t>
  </si>
  <si>
    <t>Frankfurt (Oder)</t>
  </si>
  <si>
    <t>Netzgesellschaft Frankfurt (Oder) mbH</t>
  </si>
  <si>
    <t>Karl-Marx-Straße 195</t>
  </si>
  <si>
    <t>D-15230</t>
  </si>
  <si>
    <t>Andrea Reinicke</t>
  </si>
  <si>
    <t>0335/5533719</t>
  </si>
  <si>
    <t>Meteogroup</t>
  </si>
  <si>
    <t>SW Frankfurt (Oder)</t>
  </si>
  <si>
    <t>DE_HEF34</t>
  </si>
  <si>
    <t>DE_HMF34</t>
  </si>
  <si>
    <t>DE_GMK34</t>
  </si>
  <si>
    <t>DE_GPD34</t>
  </si>
  <si>
    <t>DE_GHA34</t>
  </si>
  <si>
    <t>DE_GBD34</t>
  </si>
  <si>
    <t>DE_GBH34</t>
  </si>
  <si>
    <t>DE_GGA34</t>
  </si>
  <si>
    <t>DE_GBA34</t>
  </si>
  <si>
    <t>DE_GWA34</t>
  </si>
  <si>
    <t>DE_GGB34</t>
  </si>
  <si>
    <t>DE_GMF34</t>
  </si>
  <si>
    <t>bilanzierung-gas@netze-ffo.de</t>
  </si>
  <si>
    <t>THE0NKH700963000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</si>
</sst>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94" fontId="12" fillId="0" borderId="17" xfId="0" applyNumberFormat="1" applyFont="1" applyFill="1" applyBorder="1" applyAlignment="1" applyProtection="1">
      <alignment horizontal="left" vertical="center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0" fillId="77" borderId="54" xfId="0" applyFont="1" applyFill="1" applyBorder="1" applyAlignment="1" applyProtection="1">
      <alignment horizontal="center" vertical="center"/>
    </xf>
    <xf numFmtId="0" fontId="0" fillId="77" borderId="64" xfId="0" applyFont="1" applyFill="1" applyBorder="1" applyAlignment="1" applyProtection="1">
      <alignment horizontal="center" textRotation="90" wrapText="1"/>
    </xf>
    <xf numFmtId="0" fontId="0" fillId="77" borderId="25" xfId="0" applyFont="1" applyFill="1" applyBorder="1" applyAlignment="1" applyProtection="1">
      <alignment horizontal="center" vertical="center"/>
    </xf>
    <xf numFmtId="0" fontId="0" fillId="77" borderId="17" xfId="0" applyFont="1" applyFill="1" applyBorder="1" applyAlignment="1" applyProtection="1">
      <alignment horizontal="center" vertical="center"/>
    </xf>
    <xf numFmtId="0" fontId="0" fillId="77" borderId="49" xfId="0" applyFont="1" applyFill="1" applyBorder="1" applyAlignment="1" applyProtection="1">
      <alignment horizontal="center" vertical="center"/>
    </xf>
    <xf numFmtId="0" fontId="77" fillId="33" borderId="17" xfId="152" applyFill="1" applyBorder="1" applyAlignment="1" applyProtection="1">
      <alignment horizontal="center"/>
      <protection locked="0"/>
    </xf>
    <xf numFmtId="1" fontId="0" fillId="33" borderId="17" xfId="0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Border="1" applyAlignment="1" applyProtection="1">
      <alignment horizontal="left" vertical="top"/>
      <protection hidden="1"/>
    </xf>
    <xf numFmtId="1" fontId="12" fillId="0" borderId="0" xfId="3" applyNumberFormat="1" applyFont="1" applyFill="1" applyAlignment="1" applyProtection="1">
      <alignment horizontal="left"/>
      <protection hidden="1"/>
    </xf>
    <xf numFmtId="14" fontId="75" fillId="0" borderId="0" xfId="86" applyNumberFormat="1" applyFont="1" applyFill="1" applyBorder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5"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CCFF99"/>
      <color rgb="FF00FF00"/>
      <color rgb="FFFFFF99"/>
      <color rgb="FFFFFFCC"/>
      <color rgb="FFC0C0C0"/>
      <color rgb="FFFFFF66"/>
      <color rgb="FF66FF33"/>
      <color rgb="FF33CC33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368141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245110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/alle_N/Netze%20Gas/SLP-Profile/20200129_ng_ffo_slp_gas_verfahrensspezifische_parameter_netzbetreibe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ierung-gas@netze-ff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C29" sqref="C29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2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1048576" zoomScale="80" zoomScaleNormal="80" workbookViewId="0">
      <selection activeCell="E1" sqref="E1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43859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660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3">
        <v>9870096300008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661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 t="s">
        <v>662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663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679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664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7" t="s">
        <v>659</v>
      </c>
      <c r="E28" s="38"/>
      <c r="F28" s="11"/>
      <c r="G28" s="2"/>
    </row>
    <row r="29" spans="1:15">
      <c r="B29" s="15"/>
      <c r="C29" s="22" t="s">
        <v>393</v>
      </c>
      <c r="D29" s="44" t="s">
        <v>659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BA48C584-AD3B-4260-AC5A-A8FDFD4B7C16}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15" zoomScale="80" zoomScaleNormal="80" workbookViewId="0">
      <selection activeCell="D7" sqref="D7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266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Netzgesellschaft Frankfurt (Oder) mbH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Frankfurt (Oder)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355">
        <f>Netzbetreiber!$D$11</f>
        <v>9870096300008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9">
        <f>Netzbetreiber!$D$6</f>
        <v>44470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6"/>
      <c r="G9" s="267"/>
      <c r="H9" s="268"/>
      <c r="I9" s="268"/>
      <c r="J9" s="268"/>
      <c r="K9" s="268"/>
      <c r="L9" s="267"/>
      <c r="M9" s="267"/>
      <c r="N9" s="267"/>
      <c r="O9" s="267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3" t="s">
        <v>616</v>
      </c>
      <c r="I11" s="273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2" t="s">
        <v>680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69"/>
      <c r="I14" s="269"/>
      <c r="J14" s="269"/>
      <c r="K14" s="269"/>
      <c r="L14" s="270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1" t="s">
        <v>257</v>
      </c>
      <c r="I15" s="271" t="s">
        <v>135</v>
      </c>
      <c r="J15" s="269"/>
      <c r="K15" s="269"/>
      <c r="L15" s="270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2" t="s">
        <v>575</v>
      </c>
      <c r="I16" s="272" t="s">
        <v>486</v>
      </c>
      <c r="J16" s="269"/>
      <c r="K16" s="269"/>
      <c r="L16" s="270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2" t="s">
        <v>487</v>
      </c>
      <c r="I17" s="272" t="s">
        <v>488</v>
      </c>
      <c r="J17" s="269"/>
      <c r="K17" s="269"/>
      <c r="L17" s="270"/>
    </row>
    <row r="18" spans="2:16" ht="15" customHeight="1">
      <c r="B18" s="22"/>
      <c r="C18" s="32"/>
      <c r="D18" s="16"/>
      <c r="E18" s="15"/>
      <c r="H18" s="272"/>
      <c r="I18" s="272"/>
      <c r="J18" s="269"/>
      <c r="K18" s="269"/>
      <c r="L18" s="270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69" t="s">
        <v>609</v>
      </c>
      <c r="I19" s="269" t="s">
        <v>610</v>
      </c>
      <c r="J19" s="269"/>
      <c r="K19" s="8"/>
      <c r="L19" s="270"/>
    </row>
    <row r="20" spans="2:16" ht="15" customHeight="1">
      <c r="B20" s="7"/>
      <c r="C20" s="8" t="str">
        <f>HLOOKUP(D19,H19:I20,2,0)</f>
        <v>nach TU-München Verfahren</v>
      </c>
      <c r="D20" s="48" t="s">
        <v>618</v>
      </c>
      <c r="E20" s="15"/>
      <c r="H20" s="269" t="s">
        <v>612</v>
      </c>
      <c r="I20" s="8" t="s">
        <v>608</v>
      </c>
      <c r="J20" s="8"/>
      <c r="K20" s="8"/>
      <c r="L20" s="270"/>
    </row>
    <row r="21" spans="2:16" ht="15" customHeight="1">
      <c r="B21" s="22"/>
      <c r="C21" s="24" t="s">
        <v>614</v>
      </c>
      <c r="D21" s="24" t="s">
        <v>619</v>
      </c>
      <c r="E21" s="15"/>
      <c r="H21" s="269" t="s">
        <v>611</v>
      </c>
      <c r="I21" s="269" t="s">
        <v>618</v>
      </c>
      <c r="J21" s="8"/>
      <c r="K21" s="8"/>
      <c r="L21" s="272" t="s">
        <v>619</v>
      </c>
      <c r="M21" s="272" t="s">
        <v>621</v>
      </c>
      <c r="N21" s="272" t="s">
        <v>620</v>
      </c>
      <c r="O21" s="8"/>
      <c r="P21" s="270"/>
    </row>
    <row r="22" spans="2:16" ht="15" customHeight="1">
      <c r="B22" s="22"/>
      <c r="C22" s="24"/>
      <c r="D22" s="15"/>
      <c r="E22" s="15"/>
      <c r="H22" s="269"/>
      <c r="I22" s="269"/>
      <c r="J22" s="269"/>
      <c r="K22" s="269"/>
      <c r="L22" s="270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1" t="s">
        <v>134</v>
      </c>
      <c r="I23" s="271" t="s">
        <v>136</v>
      </c>
      <c r="J23" s="269"/>
      <c r="K23" s="269"/>
      <c r="L23" s="270"/>
    </row>
    <row r="24" spans="2:16" ht="15" customHeight="1">
      <c r="B24" s="7"/>
      <c r="C24" s="6" t="s">
        <v>622</v>
      </c>
      <c r="D24" s="42" t="s">
        <v>623</v>
      </c>
      <c r="E24" s="15"/>
      <c r="H24" s="302" t="s">
        <v>623</v>
      </c>
      <c r="I24" s="271" t="s">
        <v>624</v>
      </c>
      <c r="J24" s="271" t="s">
        <v>625</v>
      </c>
      <c r="K24" s="269"/>
      <c r="L24" s="270"/>
    </row>
    <row r="25" spans="2:16" ht="15" customHeight="1">
      <c r="B25" s="22"/>
      <c r="C25" s="15" t="str">
        <f>HLOOKUP(D24,H24:J25,2,0)</f>
        <v>=&gt; Q(Allokation)  =  Q(Synth.);    F(kor) = 1</v>
      </c>
      <c r="D25" s="303"/>
      <c r="E25" s="15"/>
      <c r="H25" s="272" t="s">
        <v>626</v>
      </c>
      <c r="I25" s="272" t="s">
        <v>627</v>
      </c>
      <c r="J25" s="272" t="s">
        <v>628</v>
      </c>
      <c r="K25" s="269"/>
      <c r="L25" s="270"/>
    </row>
    <row r="26" spans="2:16" ht="15" customHeight="1">
      <c r="B26" s="22"/>
      <c r="C26" s="15" t="str">
        <f>HLOOKUP(D24,H24:J26,3,0)</f>
        <v xml:space="preserve"> </v>
      </c>
      <c r="D26" s="304"/>
      <c r="E26" s="15"/>
      <c r="H26" s="272" t="s">
        <v>629</v>
      </c>
      <c r="I26" s="272" t="s">
        <v>630</v>
      </c>
      <c r="J26" s="272" t="s">
        <v>631</v>
      </c>
      <c r="K26" s="269"/>
      <c r="L26" s="270"/>
    </row>
    <row r="27" spans="2:16" ht="15" customHeight="1">
      <c r="B27" s="22"/>
      <c r="C27" s="24"/>
      <c r="D27" s="15"/>
      <c r="E27" s="15"/>
      <c r="H27" s="269"/>
      <c r="I27" s="269"/>
      <c r="J27" s="269"/>
      <c r="K27" s="269"/>
      <c r="L27" s="270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1" t="s">
        <v>134</v>
      </c>
      <c r="I28" s="271" t="s">
        <v>136</v>
      </c>
      <c r="J28" s="269"/>
      <c r="K28" s="269"/>
      <c r="L28" s="270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2" t="s">
        <v>632</v>
      </c>
      <c r="I29" s="272" t="s">
        <v>633</v>
      </c>
      <c r="J29" s="269"/>
      <c r="K29" s="269"/>
      <c r="L29" s="270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2" t="s">
        <v>634</v>
      </c>
      <c r="I30" s="269" t="s">
        <v>629</v>
      </c>
      <c r="J30" s="269"/>
      <c r="K30" s="269"/>
      <c r="L30" s="270"/>
    </row>
    <row r="31" spans="2:16" ht="15" customHeight="1">
      <c r="B31" s="22"/>
      <c r="C31" s="24"/>
      <c r="D31" s="15"/>
      <c r="E31" s="15"/>
      <c r="H31" s="269"/>
      <c r="I31" s="269"/>
      <c r="J31" s="269"/>
      <c r="K31" s="269"/>
      <c r="L31" s="270"/>
    </row>
    <row r="32" spans="2:16" ht="15" customHeight="1">
      <c r="B32" s="23" t="s">
        <v>491</v>
      </c>
      <c r="C32" s="24" t="s">
        <v>493</v>
      </c>
      <c r="D32" s="265">
        <v>14</v>
      </c>
      <c r="E32" s="15"/>
      <c r="H32" s="269"/>
      <c r="I32" s="269"/>
      <c r="J32" s="269"/>
      <c r="K32" s="269"/>
      <c r="L32" s="270"/>
    </row>
    <row r="33" spans="2:39" ht="15" customHeight="1">
      <c r="B33" s="22"/>
      <c r="C33" s="24"/>
      <c r="D33" s="15"/>
      <c r="E33" s="15"/>
      <c r="H33" s="269"/>
      <c r="I33" s="269"/>
      <c r="J33" s="269"/>
      <c r="K33" s="269"/>
      <c r="L33" s="270"/>
    </row>
    <row r="34" spans="2:39" ht="15" customHeight="1">
      <c r="B34" s="7" t="s">
        <v>549</v>
      </c>
      <c r="C34" s="5" t="s">
        <v>363</v>
      </c>
      <c r="D34" s="34" t="s">
        <v>657</v>
      </c>
      <c r="E34" s="15" t="s">
        <v>506</v>
      </c>
      <c r="I34" s="269"/>
      <c r="J34" s="269"/>
      <c r="K34" s="269"/>
      <c r="L34" s="269"/>
      <c r="M34" s="270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 t="s">
        <v>658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659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62" priority="20">
      <formula>IF(#REF!="Gaspool",1,0)</formula>
    </cfRule>
  </conditionalFormatting>
  <conditionalFormatting sqref="D45:D59">
    <cfRule type="expression" dxfId="61" priority="16">
      <formula>IF(CELL("Zeile",D45)&lt;$D$43+CELL("Zeile",$D$45),1,0)</formula>
    </cfRule>
  </conditionalFormatting>
  <conditionalFormatting sqref="D46:D59">
    <cfRule type="expression" dxfId="60" priority="15">
      <formula>IF(CELL(D46)&lt;$D$33+27,1,0)</formula>
    </cfRule>
  </conditionalFormatting>
  <conditionalFormatting sqref="D20">
    <cfRule type="expression" dxfId="59" priority="14">
      <formula>IF($D$19=$H$19,1,0)</formula>
    </cfRule>
  </conditionalFormatting>
  <conditionalFormatting sqref="D28">
    <cfRule type="expression" dxfId="58" priority="3">
      <formula>IF($D$15="synthetisch",1,0)</formula>
    </cfRule>
  </conditionalFormatting>
  <conditionalFormatting sqref="D25">
    <cfRule type="expression" dxfId="57" priority="1">
      <formula>IF(AND($D$24=$I$24,$D$23=$H$23),1,0)</formula>
    </cfRule>
  </conditionalFormatting>
  <conditionalFormatting sqref="D23:D25">
    <cfRule type="expression" dxfId="56" priority="4">
      <formula>IF($D$15="analytisch",1,0)</formula>
    </cfRule>
  </conditionalFormatting>
  <conditionalFormatting sqref="D24">
    <cfRule type="expression" dxfId="55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6" sqref="E6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5" width="22" style="127" customWidth="1"/>
    <col min="6" max="14" width="12.6640625" style="127" customWidth="1"/>
    <col min="15" max="15" width="34.109375" style="127" customWidth="1"/>
    <col min="16" max="16" width="7.33203125" style="169" hidden="1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4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tr">
        <f>Netzbetreiber!D9</f>
        <v>Netzgesellschaft Frankfurt (Oder) mbH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Frankfurt (Oder)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5">
        <v>9870096300008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9">
        <v>44470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3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0" t="str">
        <f>INDEX('SLP-Verfahren'!D45:D59,'SLP-Temp-Gebiet #01'!F10)</f>
        <v>Frankfurt (Oder)</v>
      </c>
      <c r="G11" s="294"/>
      <c r="H11" s="292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2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3" t="s">
        <v>77</v>
      </c>
      <c r="G14" s="264" t="s">
        <v>572</v>
      </c>
      <c r="H14" s="50">
        <v>-1.5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3" t="s">
        <v>491</v>
      </c>
      <c r="G15" s="264" t="s">
        <v>567</v>
      </c>
      <c r="H15" s="50">
        <v>0</v>
      </c>
      <c r="I15" s="55"/>
      <c r="J15" s="129"/>
      <c r="K15" s="129"/>
      <c r="L15" s="129"/>
      <c r="M15" s="129"/>
      <c r="N15" s="129"/>
      <c r="O15" s="160" t="s">
        <v>665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368</v>
      </c>
      <c r="AH15" s="261" t="s">
        <v>491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8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3">
        <v>1</v>
      </c>
      <c r="F21" s="283"/>
      <c r="G21" s="284">
        <f t="shared" ref="G21:N21" si="1">ROUND(G22/$D$22,4)</f>
        <v>0</v>
      </c>
      <c r="H21" s="284">
        <f t="shared" si="1"/>
        <v>0</v>
      </c>
      <c r="I21" s="284">
        <f t="shared" si="1"/>
        <v>0</v>
      </c>
      <c r="J21" s="284">
        <f t="shared" si="1"/>
        <v>0</v>
      </c>
      <c r="K21" s="284">
        <f t="shared" si="1"/>
        <v>0</v>
      </c>
      <c r="L21" s="284">
        <f t="shared" si="1"/>
        <v>0</v>
      </c>
      <c r="M21" s="284">
        <f t="shared" si="1"/>
        <v>0</v>
      </c>
      <c r="N21" s="284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85">
        <v>1</v>
      </c>
      <c r="F22" s="285"/>
      <c r="G22" s="286"/>
      <c r="H22" s="286"/>
      <c r="I22" s="286"/>
      <c r="J22" s="286"/>
      <c r="K22" s="286"/>
      <c r="L22" s="286"/>
      <c r="M22" s="286"/>
      <c r="N22" s="286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155" t="s">
        <v>502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1" t="str">
        <f>O15</f>
        <v>Meteogroup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155" t="s">
        <v>666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159">
        <v>93990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503</v>
      </c>
      <c r="F26" s="155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1"/>
      <c r="C27" s="342" t="s">
        <v>654</v>
      </c>
      <c r="D27" s="343"/>
      <c r="E27" s="343" t="str">
        <f>IF(E26="Individuelle GPT",CONCATENATE(Netzbetreiber!$D$11,'SLP-Temp-Gebiet #01'!E25,"B"),IF('SLP-Temp-Gebiet #01'!E26="Allgemeine GPT",CONCATENATE(Netzbetreiber!$D$11,'SLP-Temp-Gebiet #01'!E25,"A"),""))</f>
        <v/>
      </c>
      <c r="F27" s="343" t="str">
        <f>IF(F26="Individuelle GPT",CONCATENATE(Netzbetreiber!$D$11,'SLP-Temp-Gebiet #01'!F25,"B"),IF('SLP-Temp-Gebiet #01'!F26="Allgemeine GPT",CONCATENATE(Netzbetreiber!$D$11,'SLP-Temp-Gebiet #01'!F25,"A"),""))</f>
        <v/>
      </c>
      <c r="G27" s="343" t="str">
        <f>IF(G26="Individuelle GPT",CONCATENATE(Netzbetreiber!$D$11,'SLP-Temp-Gebiet #01'!G25,"B"),IF('SLP-Temp-Gebiet #01'!G26="Allgemeine GPT",CONCATENATE(Netzbetreiber!$D$11,'SLP-Temp-Gebiet #01'!G25,"A"),""))</f>
        <v/>
      </c>
      <c r="H27" s="343" t="str">
        <f>IF(H26="Individuelle GPT",CONCATENATE(Netzbetreiber!$D$11,'SLP-Temp-Gebiet #01'!H25,"B"),IF('SLP-Temp-Gebiet #01'!H26="Allgemeine GPT",CONCATENATE(Netzbetreiber!$D$11,'SLP-Temp-Gebiet #01'!H25,"A"),""))</f>
        <v/>
      </c>
      <c r="I27" s="343" t="str">
        <f>IF(I26="Individuelle GPT",CONCATENATE(Netzbetreiber!$D$11,'SLP-Temp-Gebiet #01'!I25,"B"),IF('SLP-Temp-Gebiet #01'!I26="Allgemeine GPT",CONCATENATE(Netzbetreiber!$D$11,'SLP-Temp-Gebiet #01'!I25,"A"),""))</f>
        <v/>
      </c>
      <c r="J27" s="343" t="str">
        <f>IF(J26="Individuelle GPT",CONCATENATE(Netzbetreiber!$D$11,'SLP-Temp-Gebiet #01'!J25,"B"),IF('SLP-Temp-Gebiet #01'!J26="Allgemeine GPT",CONCATENATE(Netzbetreiber!$D$11,'SLP-Temp-Gebiet #01'!J25,"A"),""))</f>
        <v/>
      </c>
      <c r="K27" s="343" t="str">
        <f>IF(K26="Individuelle GPT",CONCATENATE(Netzbetreiber!$D$11,'SLP-Temp-Gebiet #01'!K25,"B"),IF('SLP-Temp-Gebiet #01'!K26="Allgemeine GPT",CONCATENATE(Netzbetreiber!$D$11,'SLP-Temp-Gebiet #01'!K25,"A"),""))</f>
        <v/>
      </c>
      <c r="L27" s="343" t="str">
        <f>IF(L26="Individuelle GPT",CONCATENATE(Netzbetreiber!$D$11,'SLP-Temp-Gebiet #01'!L25,"B"),IF('SLP-Temp-Gebiet #01'!L26="Allgemeine GPT",CONCATENATE(Netzbetreiber!$D$11,'SLP-Temp-Gebiet #01'!L25,"A"),""))</f>
        <v/>
      </c>
      <c r="M27" s="343" t="str">
        <f>IF(M26="Individuelle GPT",CONCATENATE(Netzbetreiber!$D$11,'SLP-Temp-Gebiet #01'!M25,"B"),IF('SLP-Temp-Gebiet #01'!M26="Allgemeine GPT",CONCATENATE(Netzbetreiber!$D$11,'SLP-Temp-Gebiet #01'!M25,"A"),""))</f>
        <v/>
      </c>
      <c r="N27" s="343" t="str">
        <f>IF(N26="Individuelle GPT",CONCATENATE(Netzbetreiber!$D$11,'SLP-Temp-Gebiet #01'!N25,"B"),IF('SLP-Temp-Gebiet #01'!N26="Allgemeine GPT",CONCATENATE(Netzbetreiber!$D$11,'SLP-Temp-Gebiet #01'!N25,"A"),""))</f>
        <v/>
      </c>
      <c r="O27" s="344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8">
        <v>4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1</v>
      </c>
      <c r="G30" s="177">
        <f t="shared" si="2"/>
        <v>1</v>
      </c>
      <c r="H30" s="177">
        <f t="shared" si="2"/>
        <v>1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1">
        <v>0.5333</v>
      </c>
      <c r="F32" s="281">
        <v>0.26669999999999999</v>
      </c>
      <c r="G32" s="345">
        <v>0.1333</v>
      </c>
      <c r="H32" s="281">
        <v>6.6699999999999995E-2</v>
      </c>
      <c r="I32" s="281">
        <f t="shared" ref="I32:N32" si="3">ROUND(I33/$D$33,4)</f>
        <v>0</v>
      </c>
      <c r="J32" s="281">
        <f t="shared" si="3"/>
        <v>0</v>
      </c>
      <c r="K32" s="281">
        <f t="shared" si="3"/>
        <v>0</v>
      </c>
      <c r="L32" s="281">
        <f t="shared" si="3"/>
        <v>0</v>
      </c>
      <c r="M32" s="281">
        <f t="shared" si="3"/>
        <v>0</v>
      </c>
      <c r="N32" s="281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87">
        <f>SUMPRODUCT(E33:N33,E30:N30)</f>
        <v>1.875</v>
      </c>
      <c r="E33" s="282">
        <v>1</v>
      </c>
      <c r="F33" s="282">
        <v>0.5</v>
      </c>
      <c r="G33" s="282">
        <v>0.25</v>
      </c>
      <c r="H33" s="282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5" t="s">
        <v>357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512</v>
      </c>
      <c r="F35" s="155" t="s">
        <v>511</v>
      </c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5" t="s">
        <v>604</v>
      </c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161" t="s">
        <v>449</v>
      </c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5.6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88">
        <v>1</v>
      </c>
      <c r="F47" s="288">
        <v>0</v>
      </c>
      <c r="G47" s="288">
        <v>0</v>
      </c>
      <c r="H47" s="288">
        <v>0</v>
      </c>
      <c r="I47" s="288">
        <v>0</v>
      </c>
      <c r="J47" s="288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88">
        <v>1</v>
      </c>
      <c r="F48" s="288">
        <v>0.5</v>
      </c>
      <c r="G48" s="288">
        <v>0.25</v>
      </c>
      <c r="H48" s="288">
        <v>0.125</v>
      </c>
      <c r="I48" s="288">
        <v>0</v>
      </c>
      <c r="J48" s="288" t="s">
        <v>360</v>
      </c>
      <c r="K48" s="197"/>
      <c r="L48" s="197"/>
      <c r="M48" s="197"/>
      <c r="N48" s="197"/>
      <c r="O48" s="198"/>
    </row>
    <row r="49" spans="2:28" ht="1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1">
        <f>1-SUMPRODUCT(F54:N54,F56:N56)</f>
        <v>1</v>
      </c>
      <c r="F56" s="281">
        <f>ROUND(F57/$D$57,4)</f>
        <v>0</v>
      </c>
      <c r="G56" s="281">
        <f t="shared" ref="G56:N56" si="5">ROUND(G57/$D$57,4)</f>
        <v>0</v>
      </c>
      <c r="H56" s="281">
        <f t="shared" si="5"/>
        <v>0</v>
      </c>
      <c r="I56" s="281">
        <f t="shared" si="5"/>
        <v>0</v>
      </c>
      <c r="J56" s="281">
        <f t="shared" si="5"/>
        <v>0</v>
      </c>
      <c r="K56" s="281">
        <f t="shared" si="5"/>
        <v>0</v>
      </c>
      <c r="L56" s="281">
        <f t="shared" si="5"/>
        <v>0</v>
      </c>
      <c r="M56" s="281">
        <f t="shared" si="5"/>
        <v>0</v>
      </c>
      <c r="N56" s="281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2">
        <f>E22</f>
        <v>1</v>
      </c>
      <c r="F57" s="282">
        <f t="shared" ref="F57:N57" si="6">F22</f>
        <v>0</v>
      </c>
      <c r="G57" s="282">
        <f t="shared" si="6"/>
        <v>0</v>
      </c>
      <c r="H57" s="282">
        <f t="shared" si="6"/>
        <v>0</v>
      </c>
      <c r="I57" s="282">
        <f t="shared" si="6"/>
        <v>0</v>
      </c>
      <c r="J57" s="282">
        <f t="shared" si="6"/>
        <v>0</v>
      </c>
      <c r="K57" s="282">
        <f t="shared" si="6"/>
        <v>0</v>
      </c>
      <c r="L57" s="282">
        <f t="shared" si="6"/>
        <v>0</v>
      </c>
      <c r="M57" s="282">
        <f t="shared" si="6"/>
        <v>0</v>
      </c>
      <c r="N57" s="282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SW Frankfurt (Oder)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93990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tr">
        <f>E26</f>
        <v>Temp. (2m)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4</v>
      </c>
    </row>
    <row r="64" spans="2:28" ht="15" customHeight="1">
      <c r="E64" s="177">
        <f>IF(E65&gt;$F$63,0,1)</f>
        <v>1</v>
      </c>
      <c r="F64" s="177">
        <f t="shared" ref="F64:N64" si="11">IF(F65&gt;$F$63,0,1)</f>
        <v>1</v>
      </c>
      <c r="G64" s="177">
        <f t="shared" si="11"/>
        <v>1</v>
      </c>
      <c r="H64" s="177">
        <f t="shared" si="11"/>
        <v>1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1">
        <f>1-SUMPRODUCT(F64:N64,F66:N66)</f>
        <v>0.5333</v>
      </c>
      <c r="F66" s="281">
        <f>ROUND(F67/$D$67,4)</f>
        <v>0.26669999999999999</v>
      </c>
      <c r="G66" s="281">
        <f t="shared" ref="G66:N66" si="12">ROUND(G67/$D$67,4)</f>
        <v>0.1333</v>
      </c>
      <c r="H66" s="281">
        <f t="shared" si="12"/>
        <v>6.6699999999999995E-2</v>
      </c>
      <c r="I66" s="281">
        <f t="shared" si="12"/>
        <v>0</v>
      </c>
      <c r="J66" s="281">
        <f t="shared" si="12"/>
        <v>0</v>
      </c>
      <c r="K66" s="281">
        <f t="shared" si="12"/>
        <v>0</v>
      </c>
      <c r="L66" s="281">
        <f t="shared" si="12"/>
        <v>0</v>
      </c>
      <c r="M66" s="281">
        <f t="shared" si="12"/>
        <v>0</v>
      </c>
      <c r="N66" s="281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1.875</v>
      </c>
      <c r="E67" s="289">
        <f>E33</f>
        <v>1</v>
      </c>
      <c r="F67" s="289">
        <f t="shared" ref="F67:N67" si="13">F33</f>
        <v>0.5</v>
      </c>
      <c r="G67" s="289">
        <f t="shared" si="13"/>
        <v>0.25</v>
      </c>
      <c r="H67" s="289">
        <f t="shared" si="13"/>
        <v>0.125</v>
      </c>
      <c r="I67" s="289">
        <f t="shared" si="13"/>
        <v>0</v>
      </c>
      <c r="J67" s="289">
        <f t="shared" si="13"/>
        <v>0</v>
      </c>
      <c r="K67" s="289">
        <f t="shared" si="13"/>
        <v>0</v>
      </c>
      <c r="L67" s="289">
        <f t="shared" si="13"/>
        <v>0</v>
      </c>
      <c r="M67" s="289">
        <f t="shared" si="13"/>
        <v>0</v>
      </c>
      <c r="N67" s="289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Kalendertag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9" t="s">
        <v>580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4" priority="34">
      <formula>IF(E$20&lt;=$F$18,1,0)</formula>
    </cfRule>
  </conditionalFormatting>
  <conditionalFormatting sqref="E33:F37 I33:N37">
    <cfRule type="expression" dxfId="53" priority="33">
      <formula>IF(E$31&lt;=$F$29,1,0)</formula>
    </cfRule>
  </conditionalFormatting>
  <conditionalFormatting sqref="E26:N26">
    <cfRule type="expression" dxfId="52" priority="32">
      <formula>IF(E$20&lt;=$F$18,1,0)</formula>
    </cfRule>
  </conditionalFormatting>
  <conditionalFormatting sqref="E26:N26">
    <cfRule type="expression" dxfId="51" priority="31">
      <formula>IF(E$20&lt;=$F$18,1,0)</formula>
    </cfRule>
  </conditionalFormatting>
  <conditionalFormatting sqref="E57:N60">
    <cfRule type="expression" dxfId="50" priority="28">
      <formula>IF(E$55&lt;=$F$53,1,0)</formula>
    </cfRule>
  </conditionalFormatting>
  <conditionalFormatting sqref="E61:N61">
    <cfRule type="expression" dxfId="49" priority="27">
      <formula>IF(E$55&lt;=$F$53,1,0)</formula>
    </cfRule>
  </conditionalFormatting>
  <conditionalFormatting sqref="E67:N69">
    <cfRule type="expression" dxfId="48" priority="21">
      <formula>IF(E$65&lt;=$F$63,1,0)</formula>
    </cfRule>
  </conditionalFormatting>
  <conditionalFormatting sqref="E66:N69 E71:N71">
    <cfRule type="expression" dxfId="47" priority="19">
      <formula>IF(E$65&gt;$F$63,1,0)</formula>
    </cfRule>
  </conditionalFormatting>
  <conditionalFormatting sqref="E57:N61">
    <cfRule type="expression" dxfId="46" priority="18">
      <formula>IF(E$55&gt;$F$53,1,0)</formula>
    </cfRule>
  </conditionalFormatting>
  <conditionalFormatting sqref="E21:N26">
    <cfRule type="expression" dxfId="45" priority="17">
      <formula>IF(E$20&gt;$F$18,1,0)</formula>
    </cfRule>
  </conditionalFormatting>
  <conditionalFormatting sqref="E33:F37 I33:N37">
    <cfRule type="expression" dxfId="44" priority="16">
      <formula>IF(E$31&gt;$F$29,1,0)</formula>
    </cfRule>
  </conditionalFormatting>
  <conditionalFormatting sqref="H11 H8:H9">
    <cfRule type="expression" dxfId="43" priority="15">
      <formula>IF($F$9=1,1,0)</formula>
    </cfRule>
  </conditionalFormatting>
  <conditionalFormatting sqref="E56:N56">
    <cfRule type="expression" dxfId="42" priority="14">
      <formula>IF(E$55&gt;$F$53,1,0)</formula>
    </cfRule>
  </conditionalFormatting>
  <conditionalFormatting sqref="E32:F32 I32:N32">
    <cfRule type="expression" dxfId="41" priority="13">
      <formula>IF(E$31&gt;$F$29,1,0)</formula>
    </cfRule>
  </conditionalFormatting>
  <conditionalFormatting sqref="E71:N71">
    <cfRule type="expression" dxfId="40" priority="12">
      <formula>IF(E$65&lt;=$F$63,1,0)</formula>
    </cfRule>
  </conditionalFormatting>
  <conditionalFormatting sqref="H10">
    <cfRule type="expression" dxfId="39" priority="11">
      <formula>IF($F$9=1,1,0)</formula>
    </cfRule>
  </conditionalFormatting>
  <conditionalFormatting sqref="E70:N70">
    <cfRule type="expression" dxfId="38" priority="8">
      <formula>IF(E$65&lt;=$F$63,1,0)</formula>
    </cfRule>
  </conditionalFormatting>
  <conditionalFormatting sqref="E70:N70">
    <cfRule type="expression" dxfId="37" priority="7">
      <formula>IF(E$65&gt;$F$63,1,0)</formula>
    </cfRule>
  </conditionalFormatting>
  <conditionalFormatting sqref="G33:H37">
    <cfRule type="expression" dxfId="36" priority="3">
      <formula>IF(G$31&lt;=$F$29,1,0)</formula>
    </cfRule>
  </conditionalFormatting>
  <conditionalFormatting sqref="G33:H37">
    <cfRule type="expression" dxfId="35" priority="2">
      <formula>IF(G$31&gt;$F$29,1,0)</formula>
    </cfRule>
  </conditionalFormatting>
  <conditionalFormatting sqref="G32:H32">
    <cfRule type="expression" dxfId="34" priority="1">
      <formula>IF(G$31&gt;$F$29,1,0)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I37:N37 E57:N60 E22 I22:N22 F53 F63 G24:N24 G71:N71 I33:N35 E70:N70 G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6383" width="22.5546875" style="55" hidden="1"/>
    <col min="16384" max="16384" width="1" style="55" hidden="1" customWidth="1"/>
  </cols>
  <sheetData>
    <row r="1" spans="1:56" ht="75" customHeight="1"/>
    <row r="2" spans="1:56" ht="23.4">
      <c r="B2" s="170" t="s">
        <v>544</v>
      </c>
    </row>
    <row r="3" spans="1:56" ht="15" customHeight="1">
      <c r="B3" s="170"/>
    </row>
    <row r="4" spans="1:56" ht="14.4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 ht="14.4">
      <c r="B5" s="129"/>
      <c r="C5" s="54" t="s">
        <v>441</v>
      </c>
      <c r="D5" s="55"/>
      <c r="E5" s="56" t="str">
        <f>Netzbetreiber!D28</f>
        <v>Frankfurt (Oder)</v>
      </c>
      <c r="F5" s="129"/>
      <c r="G5" s="129"/>
      <c r="H5" s="129"/>
      <c r="M5" s="129"/>
      <c r="N5" s="129"/>
      <c r="O5" s="129"/>
    </row>
    <row r="6" spans="1:56" ht="14.4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 ht="14.4">
      <c r="B7" s="129"/>
      <c r="C7" s="54" t="s">
        <v>133</v>
      </c>
      <c r="D7" s="55"/>
      <c r="E7" s="49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 ht="14.4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 ht="14.4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 ht="14.4">
      <c r="B10" s="129"/>
      <c r="C10" s="54" t="s">
        <v>585</v>
      </c>
      <c r="D10" s="129"/>
      <c r="E10" s="129"/>
      <c r="F10" s="293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 ht="14.4">
      <c r="B11" s="129"/>
      <c r="C11" s="54" t="s">
        <v>603</v>
      </c>
      <c r="D11" s="129"/>
      <c r="E11" s="129"/>
      <c r="F11" s="290">
        <f>INDEX('SLP-Verfahren'!D45:D59,'SLP-Temp-Gebiet #02'!F10)</f>
        <v>0</v>
      </c>
      <c r="G11" s="294"/>
      <c r="H11" s="292"/>
      <c r="J11" s="129"/>
      <c r="K11" s="129"/>
      <c r="L11" s="129"/>
      <c r="M11" s="129"/>
      <c r="N11" s="129"/>
      <c r="O11" s="129"/>
    </row>
    <row r="12" spans="1:56" ht="14.4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2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3" t="s">
        <v>85</v>
      </c>
      <c r="G14" s="264" t="s">
        <v>572</v>
      </c>
      <c r="H14" s="50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3" t="s">
        <v>71</v>
      </c>
      <c r="G15" s="264" t="s">
        <v>566</v>
      </c>
      <c r="H15" s="50">
        <v>0</v>
      </c>
      <c r="I15" s="55"/>
      <c r="J15" s="129"/>
      <c r="K15" s="129"/>
      <c r="L15" s="129"/>
      <c r="M15" s="129"/>
      <c r="N15" s="129"/>
      <c r="O15" s="160" t="s">
        <v>528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368</v>
      </c>
      <c r="AH15" s="261" t="s">
        <v>491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1:56" ht="19.5" customHeight="1">
      <c r="B16" s="129"/>
      <c r="C16" s="173"/>
      <c r="D16" s="295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295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 ht="14.4">
      <c r="B18" s="129"/>
      <c r="C18" s="54" t="s">
        <v>523</v>
      </c>
      <c r="D18" s="129"/>
      <c r="E18" s="129"/>
      <c r="F18" s="48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 ht="14.4">
      <c r="B21" s="182"/>
      <c r="C21" s="183" t="s">
        <v>525</v>
      </c>
      <c r="D21" s="152" t="s">
        <v>515</v>
      </c>
      <c r="E21" s="283">
        <f>1-SUMPRODUCT(F19:N19,F21:N21)</f>
        <v>0.5</v>
      </c>
      <c r="F21" s="283">
        <f>ROUND(F22/$D$22,4)</f>
        <v>0.5</v>
      </c>
      <c r="G21" s="284">
        <f t="shared" ref="G21:N21" si="1">ROUND(G22/$D$22,4)</f>
        <v>0</v>
      </c>
      <c r="H21" s="284">
        <f t="shared" si="1"/>
        <v>0</v>
      </c>
      <c r="I21" s="284">
        <f t="shared" si="1"/>
        <v>0</v>
      </c>
      <c r="J21" s="284">
        <f t="shared" si="1"/>
        <v>0</v>
      </c>
      <c r="K21" s="284">
        <f t="shared" si="1"/>
        <v>0</v>
      </c>
      <c r="L21" s="284">
        <f t="shared" si="1"/>
        <v>0</v>
      </c>
      <c r="M21" s="284">
        <f t="shared" si="1"/>
        <v>0</v>
      </c>
      <c r="N21" s="284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 ht="14.4">
      <c r="B22" s="182"/>
      <c r="C22" s="183" t="s">
        <v>537</v>
      </c>
      <c r="D22" s="185">
        <f>SUMPRODUCT(E22:N22,E19:N19)</f>
        <v>2</v>
      </c>
      <c r="E22" s="285">
        <v>1</v>
      </c>
      <c r="F22" s="285">
        <v>1</v>
      </c>
      <c r="G22" s="286"/>
      <c r="H22" s="286"/>
      <c r="I22" s="286"/>
      <c r="J22" s="286"/>
      <c r="K22" s="286"/>
      <c r="L22" s="286"/>
      <c r="M22" s="286"/>
      <c r="N22" s="286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 ht="14.4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1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 ht="14.4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 ht="14.4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 ht="14.4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 ht="14.4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14.4">
      <c r="B28" s="129"/>
      <c r="C28" s="54" t="s">
        <v>519</v>
      </c>
      <c r="D28" s="129"/>
      <c r="E28" s="129"/>
      <c r="F28" s="48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 ht="14.4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 ht="14.4">
      <c r="B31" s="182"/>
      <c r="C31" s="183" t="s">
        <v>526</v>
      </c>
      <c r="D31" s="185" t="s">
        <v>255</v>
      </c>
      <c r="E31" s="281">
        <f>1-SUMPRODUCT(F29:N29,F31:N31)</f>
        <v>0.5333</v>
      </c>
      <c r="F31" s="281">
        <f>ROUND(F32/$D$32,4)</f>
        <v>0.26669999999999999</v>
      </c>
      <c r="G31" s="281">
        <f t="shared" ref="G31:N31" si="3">ROUND(G32/$D$32,4)</f>
        <v>0.1333</v>
      </c>
      <c r="H31" s="281">
        <f t="shared" si="3"/>
        <v>6.6699999999999995E-2</v>
      </c>
      <c r="I31" s="281">
        <f t="shared" si="3"/>
        <v>0</v>
      </c>
      <c r="J31" s="281">
        <f t="shared" si="3"/>
        <v>0</v>
      </c>
      <c r="K31" s="281">
        <f t="shared" si="3"/>
        <v>0</v>
      </c>
      <c r="L31" s="281">
        <f t="shared" si="3"/>
        <v>0</v>
      </c>
      <c r="M31" s="281">
        <f t="shared" si="3"/>
        <v>0</v>
      </c>
      <c r="N31" s="281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 ht="14.4">
      <c r="B32" s="182"/>
      <c r="C32" s="183" t="s">
        <v>533</v>
      </c>
      <c r="D32" s="287">
        <f>SUMPRODUCT(E32:N32,E29:N29)</f>
        <v>1.875</v>
      </c>
      <c r="E32" s="282">
        <v>1</v>
      </c>
      <c r="F32" s="282">
        <v>0.5</v>
      </c>
      <c r="G32" s="282">
        <v>0.25</v>
      </c>
      <c r="H32" s="282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 ht="14.4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 ht="14.4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 ht="14.4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 ht="14.4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6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4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4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4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4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4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4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4">
      <c r="B46" s="192"/>
      <c r="C46" s="199" t="s">
        <v>536</v>
      </c>
      <c r="D46" s="200" t="s">
        <v>534</v>
      </c>
      <c r="E46" s="288">
        <v>1</v>
      </c>
      <c r="F46" s="288">
        <v>0</v>
      </c>
      <c r="G46" s="288">
        <v>0</v>
      </c>
      <c r="H46" s="288">
        <v>0</v>
      </c>
      <c r="I46" s="288">
        <v>0</v>
      </c>
      <c r="J46" s="288" t="s">
        <v>360</v>
      </c>
      <c r="K46" s="197"/>
      <c r="L46" s="197"/>
      <c r="M46" s="197"/>
      <c r="N46" s="197"/>
      <c r="O46" s="198"/>
    </row>
    <row r="47" spans="2:28" ht="14.4">
      <c r="B47" s="192"/>
      <c r="C47" s="199" t="s">
        <v>346</v>
      </c>
      <c r="D47" s="200" t="s">
        <v>534</v>
      </c>
      <c r="E47" s="288">
        <v>1</v>
      </c>
      <c r="F47" s="288">
        <v>0.5</v>
      </c>
      <c r="G47" s="288">
        <v>0.25</v>
      </c>
      <c r="H47" s="288">
        <v>0.125</v>
      </c>
      <c r="I47" s="288">
        <v>0</v>
      </c>
      <c r="J47" s="288" t="s">
        <v>360</v>
      </c>
      <c r="K47" s="197"/>
      <c r="L47" s="197"/>
      <c r="M47" s="197"/>
      <c r="N47" s="197"/>
      <c r="O47" s="198"/>
    </row>
    <row r="48" spans="2:28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 ht="14.4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 ht="14.4">
      <c r="B55" s="182"/>
      <c r="C55" s="183" t="s">
        <v>525</v>
      </c>
      <c r="D55" s="152" t="s">
        <v>515</v>
      </c>
      <c r="E55" s="281">
        <f>1-SUMPRODUCT(F53:N53,F55:N55)</f>
        <v>0.5</v>
      </c>
      <c r="F55" s="281">
        <f>ROUND(F56/$D$56,4)</f>
        <v>0.5</v>
      </c>
      <c r="G55" s="281">
        <f t="shared" ref="G55:N55" si="5">ROUND(G56/$D$56,4)</f>
        <v>0</v>
      </c>
      <c r="H55" s="281">
        <f t="shared" si="5"/>
        <v>0</v>
      </c>
      <c r="I55" s="281">
        <f t="shared" si="5"/>
        <v>0</v>
      </c>
      <c r="J55" s="281">
        <f t="shared" si="5"/>
        <v>0</v>
      </c>
      <c r="K55" s="281">
        <f t="shared" si="5"/>
        <v>0</v>
      </c>
      <c r="L55" s="281">
        <f t="shared" si="5"/>
        <v>0</v>
      </c>
      <c r="M55" s="281">
        <f t="shared" si="5"/>
        <v>0</v>
      </c>
      <c r="N55" s="281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 ht="14.4">
      <c r="B56" s="182"/>
      <c r="C56" s="183" t="s">
        <v>537</v>
      </c>
      <c r="D56" s="185">
        <f>SUMPRODUCT(E56:N56,E53:N53)</f>
        <v>2</v>
      </c>
      <c r="E56" s="282">
        <f>E22</f>
        <v>1</v>
      </c>
      <c r="F56" s="282">
        <f t="shared" ref="F56:N60" si="6">F22</f>
        <v>1</v>
      </c>
      <c r="G56" s="282">
        <f t="shared" si="6"/>
        <v>0</v>
      </c>
      <c r="H56" s="282">
        <f t="shared" si="6"/>
        <v>0</v>
      </c>
      <c r="I56" s="282">
        <f t="shared" si="6"/>
        <v>0</v>
      </c>
      <c r="J56" s="282">
        <f t="shared" si="6"/>
        <v>0</v>
      </c>
      <c r="K56" s="282">
        <f t="shared" si="6"/>
        <v>0</v>
      </c>
      <c r="L56" s="282">
        <f t="shared" si="6"/>
        <v>0</v>
      </c>
      <c r="M56" s="282">
        <f t="shared" si="6"/>
        <v>0</v>
      </c>
      <c r="N56" s="282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 ht="14.4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 ht="14.4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 ht="14.4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 ht="14.4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 ht="14.4"/>
    <row r="62" spans="2:28" ht="14.4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4">
      <c r="B65" s="182"/>
      <c r="C65" s="183" t="s">
        <v>526</v>
      </c>
      <c r="D65" s="185" t="s">
        <v>255</v>
      </c>
      <c r="E65" s="281">
        <f>1-SUMPRODUCT(F63:N63,F65:N65)</f>
        <v>0.5333</v>
      </c>
      <c r="F65" s="281">
        <f>ROUND(F66/$D$66,4)</f>
        <v>0.26669999999999999</v>
      </c>
      <c r="G65" s="281">
        <f t="shared" ref="G65:N65" si="8">ROUND(G66/$D$66,4)</f>
        <v>0.1333</v>
      </c>
      <c r="H65" s="281">
        <f t="shared" si="8"/>
        <v>6.6699999999999995E-2</v>
      </c>
      <c r="I65" s="281">
        <f t="shared" si="8"/>
        <v>0</v>
      </c>
      <c r="J65" s="281">
        <f t="shared" si="8"/>
        <v>0</v>
      </c>
      <c r="K65" s="281">
        <f t="shared" si="8"/>
        <v>0</v>
      </c>
      <c r="L65" s="281">
        <f t="shared" si="8"/>
        <v>0</v>
      </c>
      <c r="M65" s="281">
        <f t="shared" si="8"/>
        <v>0</v>
      </c>
      <c r="N65" s="281">
        <f t="shared" si="8"/>
        <v>0</v>
      </c>
      <c r="O65" s="184"/>
    </row>
    <row r="66" spans="2:15" ht="14.4">
      <c r="B66" s="182"/>
      <c r="C66" s="183" t="s">
        <v>533</v>
      </c>
      <c r="D66" s="185">
        <f>SUMPRODUCT(E66:N66,E63:N63)</f>
        <v>1.875</v>
      </c>
      <c r="E66" s="289">
        <f>E32</f>
        <v>1</v>
      </c>
      <c r="F66" s="289">
        <f t="shared" ref="F66:N70" si="9">F32</f>
        <v>0.5</v>
      </c>
      <c r="G66" s="289">
        <f t="shared" si="9"/>
        <v>0.25</v>
      </c>
      <c r="H66" s="289">
        <f t="shared" si="9"/>
        <v>0.125</v>
      </c>
      <c r="I66" s="289">
        <f t="shared" si="9"/>
        <v>0</v>
      </c>
      <c r="J66" s="289">
        <f t="shared" si="9"/>
        <v>0</v>
      </c>
      <c r="K66" s="289">
        <f t="shared" si="9"/>
        <v>0</v>
      </c>
      <c r="L66" s="289">
        <f t="shared" si="9"/>
        <v>0</v>
      </c>
      <c r="M66" s="289">
        <f t="shared" si="9"/>
        <v>0</v>
      </c>
      <c r="N66" s="289">
        <f t="shared" si="9"/>
        <v>0</v>
      </c>
      <c r="O66" s="184" t="s">
        <v>145</v>
      </c>
    </row>
    <row r="67" spans="2:15" ht="14.4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 ht="14.4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 ht="14.4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 ht="14.4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 ht="14.4"/>
    <row r="72" spans="2:15" ht="15.75" customHeight="1">
      <c r="C72" s="359" t="s">
        <v>580</v>
      </c>
      <c r="D72" s="359"/>
      <c r="E72" s="359"/>
      <c r="F72" s="359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33" priority="18">
      <formula>IF(E$20&lt;=$F$18,1,0)</formula>
    </cfRule>
  </conditionalFormatting>
  <conditionalFormatting sqref="E32:N36">
    <cfRule type="expression" dxfId="32" priority="17">
      <formula>IF(E$30&lt;=$F$28,1,0)</formula>
    </cfRule>
  </conditionalFormatting>
  <conditionalFormatting sqref="E26:F26">
    <cfRule type="expression" dxfId="31" priority="16">
      <formula>IF(E$20&lt;=$F$18,1,0)</formula>
    </cfRule>
  </conditionalFormatting>
  <conditionalFormatting sqref="E26:N26">
    <cfRule type="expression" dxfId="30" priority="15">
      <formula>IF(E$20&lt;=$F$18,1,0)</formula>
    </cfRule>
  </conditionalFormatting>
  <conditionalFormatting sqref="E56:N59">
    <cfRule type="expression" dxfId="29" priority="14">
      <formula>IF(E$54&lt;=$F$52,1,0)</formula>
    </cfRule>
  </conditionalFormatting>
  <conditionalFormatting sqref="E60:N60">
    <cfRule type="expression" dxfId="28" priority="13">
      <formula>IF(E$54&lt;=$F$52,1,0)</formula>
    </cfRule>
  </conditionalFormatting>
  <conditionalFormatting sqref="E66:N68">
    <cfRule type="expression" dxfId="27" priority="12">
      <formula>IF(E$64&lt;=$F$62,1,0)</formula>
    </cfRule>
  </conditionalFormatting>
  <conditionalFormatting sqref="E65:N68 E70:N70">
    <cfRule type="expression" dxfId="26" priority="11">
      <formula>IF(E$64&gt;$F$62,1,0)</formula>
    </cfRule>
  </conditionalFormatting>
  <conditionalFormatting sqref="E56:N60">
    <cfRule type="expression" dxfId="25" priority="10">
      <formula>IF(E$54&gt;$F$52,1,0)</formula>
    </cfRule>
  </conditionalFormatting>
  <conditionalFormatting sqref="E21:N26">
    <cfRule type="expression" dxfId="24" priority="9">
      <formula>IF(E$20&gt;$F$18,1,0)</formula>
    </cfRule>
  </conditionalFormatting>
  <conditionalFormatting sqref="E32:N36">
    <cfRule type="expression" dxfId="23" priority="8">
      <formula>IF(E$30&gt;$F$28,1,0)</formula>
    </cfRule>
  </conditionalFormatting>
  <conditionalFormatting sqref="H11 H8:H9">
    <cfRule type="expression" dxfId="22" priority="7">
      <formula>IF($F$9=1,1,0)</formula>
    </cfRule>
  </conditionalFormatting>
  <conditionalFormatting sqref="E55:N55">
    <cfRule type="expression" dxfId="21" priority="6">
      <formula>IF(E$54&gt;$F$52,1,0)</formula>
    </cfRule>
  </conditionalFormatting>
  <conditionalFormatting sqref="E31:N31">
    <cfRule type="expression" dxfId="20" priority="5">
      <formula>IF(E$30&gt;$F$28,1,0)</formula>
    </cfRule>
  </conditionalFormatting>
  <conditionalFormatting sqref="E70:N70">
    <cfRule type="expression" dxfId="19" priority="4">
      <formula>IF(E$64&lt;=$F$62,1,0)</formula>
    </cfRule>
  </conditionalFormatting>
  <conditionalFormatting sqref="H10">
    <cfRule type="expression" dxfId="18" priority="3">
      <formula>IF($F$9=1,1,0)</formula>
    </cfRule>
  </conditionalFormatting>
  <conditionalFormatting sqref="E69:N69">
    <cfRule type="expression" dxfId="17" priority="2">
      <formula>IF(E$64&lt;=$F$62,1,0)</formula>
    </cfRule>
  </conditionalFormatting>
  <conditionalFormatting sqref="E69:N69">
    <cfRule type="expression" dxfId="16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E9" sqref="E9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5.10937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Netzgesellschaft Frankfurt (Oder) mbH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Frankfurt (Oder)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354">
        <f>Netzbetreiber!$D$11</f>
        <v>9870096300008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356">
        <f>Netzbetreiber!$D$6</f>
        <v>44470</v>
      </c>
      <c r="E8" s="129"/>
      <c r="F8" s="129"/>
      <c r="H8" s="127" t="s">
        <v>493</v>
      </c>
      <c r="J8" s="131"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249</v>
      </c>
      <c r="C10" s="134" t="s">
        <v>492</v>
      </c>
      <c r="D10" s="133" t="s">
        <v>147</v>
      </c>
      <c r="E10" s="274" t="s">
        <v>510</v>
      </c>
      <c r="F10" s="134" t="s">
        <v>148</v>
      </c>
      <c r="G10" s="8"/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299" t="s">
        <v>648</v>
      </c>
    </row>
    <row r="11" spans="2:26" ht="15" thickBot="1">
      <c r="B11" s="138" t="s">
        <v>494</v>
      </c>
      <c r="C11" s="139" t="s">
        <v>509</v>
      </c>
      <c r="D11" s="298"/>
      <c r="E11" s="163"/>
      <c r="F11" s="300"/>
      <c r="G11" s="8"/>
      <c r="H11" s="166"/>
      <c r="I11" s="166"/>
      <c r="J11" s="166"/>
      <c r="K11" s="166"/>
      <c r="L11" s="372"/>
      <c r="M11" s="166"/>
      <c r="N11" s="166"/>
      <c r="O11" s="166"/>
      <c r="P11" s="166"/>
      <c r="Q11" s="373"/>
      <c r="R11" s="167"/>
      <c r="S11" s="167"/>
      <c r="T11" s="167"/>
      <c r="U11" s="167"/>
      <c r="V11" s="167"/>
      <c r="W11" s="167"/>
      <c r="X11" s="168"/>
      <c r="Y11" s="296">
        <v>365.12299999999999</v>
      </c>
    </row>
    <row r="12" spans="2:26">
      <c r="B12" s="140">
        <v>1</v>
      </c>
      <c r="C12" s="141" t="str">
        <f t="shared" ref="C12:C41" si="0">$D$6</f>
        <v>Frankfurt (Oder)</v>
      </c>
      <c r="D12" s="61" t="s">
        <v>248</v>
      </c>
      <c r="E12" s="164" t="s">
        <v>4</v>
      </c>
      <c r="F12" s="301" t="str">
        <f>VLOOKUP($E12,'[1]BDEW-Standard'!$B$3:$M$158,F$9,0)</f>
        <v>HK3</v>
      </c>
      <c r="G12" s="8"/>
      <c r="H12" s="275">
        <f>ROUND(VLOOKUP($E12,'[1]BDEW-Standard'!$B$3:$M$158,H$9,0),7)</f>
        <v>0.40409319999999999</v>
      </c>
      <c r="I12" s="275">
        <f>ROUND(VLOOKUP($E12,'[1]BDEW-Standard'!$B$3:$M$158,I$9,0),7)</f>
        <v>-24.439296800000001</v>
      </c>
      <c r="J12" s="275">
        <f>ROUND(VLOOKUP($E12,'[1]BDEW-Standard'!$B$3:$M$158,J$9,0),7)</f>
        <v>6.5718174999999999</v>
      </c>
      <c r="K12" s="275">
        <f>ROUND(VLOOKUP($E12,'[1]BDEW-Standard'!$B$3:$M$158,K$9,0),7)</f>
        <v>0.71077100000000004</v>
      </c>
      <c r="L12" s="374">
        <f>ROUND(VLOOKUP($E12,'[1]BDEW-Standard'!$B$3:$M$158,L$9,0),1)</f>
        <v>40</v>
      </c>
      <c r="M12" s="275">
        <f>ROUND(VLOOKUP($E12,'[1]BDEW-Standard'!$B$3:$M$158,M$9,0),7)</f>
        <v>0</v>
      </c>
      <c r="N12" s="275">
        <f>ROUND(VLOOKUP($E12,'[1]BDEW-Standard'!$B$3:$M$158,N$9,0),7)</f>
        <v>0</v>
      </c>
      <c r="O12" s="275">
        <f>ROUND(VLOOKUP($E12,'[1]BDEW-Standard'!$B$3:$M$158,O$9,0),7)</f>
        <v>0</v>
      </c>
      <c r="P12" s="275">
        <f>ROUND(VLOOKUP($E12,'[1]BDEW-Standard'!$B$3:$M$158,P$9,0),7)</f>
        <v>0</v>
      </c>
      <c r="Q12" s="375">
        <f t="shared" ref="Q12:Q25" si="1">($H12/(1+($I12/($Q$9-$L12))^$J12)+$K12)+MAX($M12*$Q$9+$N12,$O12*$Q$9+$P12)</f>
        <v>1.0561214000512988</v>
      </c>
      <c r="R12" s="276">
        <f>ROUND(VLOOKUP(MID($E12,4,3),'[1]Wochentag F(WT)'!$B$7:$J$22,R$9,0),4)</f>
        <v>1</v>
      </c>
      <c r="S12" s="276">
        <f>ROUND(VLOOKUP(MID($E12,4,3),'[1]Wochentag F(WT)'!$B$7:$J$22,S$9,0),4)</f>
        <v>1</v>
      </c>
      <c r="T12" s="276">
        <f>ROUND(VLOOKUP(MID($E12,4,3),'[1]Wochentag F(WT)'!$B$7:$J$22,T$9,0),4)</f>
        <v>1</v>
      </c>
      <c r="U12" s="276">
        <f>ROUND(VLOOKUP(MID($E12,4,3),'[1]Wochentag F(WT)'!$B$7:$J$22,U$9,0),4)</f>
        <v>1</v>
      </c>
      <c r="V12" s="276">
        <f>ROUND(VLOOKUP(MID($E12,4,3),'[1]Wochentag F(WT)'!$B$7:$J$22,V$9,0),4)</f>
        <v>1</v>
      </c>
      <c r="W12" s="276">
        <f>ROUND(VLOOKUP(MID($E12,4,3),'[1]Wochentag F(WT)'!$B$7:$J$22,W$9,0),4)</f>
        <v>1</v>
      </c>
      <c r="X12" s="277">
        <f>7-SUM(R12:W12)</f>
        <v>1</v>
      </c>
      <c r="Y12" s="297"/>
      <c r="Z12" s="211"/>
    </row>
    <row r="13" spans="2:26" s="142" customFormat="1">
      <c r="B13" s="143">
        <v>2</v>
      </c>
      <c r="C13" s="144" t="str">
        <f t="shared" si="0"/>
        <v>Frankfurt (Oder)</v>
      </c>
      <c r="D13" s="61" t="s">
        <v>248</v>
      </c>
      <c r="E13" s="164" t="s">
        <v>667</v>
      </c>
      <c r="F13" s="301" t="str">
        <f>VLOOKUP($E13,'[1]BDEW-Standard'!$B$3:$M$158,F$9,0)</f>
        <v>1D4</v>
      </c>
      <c r="H13" s="275">
        <f>ROUND(VLOOKUP($E13,'[1]BDEW-Standard'!$B$3:$M$158,H$9,0),7)</f>
        <v>1.3819663</v>
      </c>
      <c r="I13" s="275">
        <f>ROUND(VLOOKUP($E13,'[1]BDEW-Standard'!$B$3:$M$158,I$9,0),7)</f>
        <v>-37.412415500000002</v>
      </c>
      <c r="J13" s="275">
        <f>ROUND(VLOOKUP($E13,'[1]BDEW-Standard'!$B$3:$M$158,J$9,0),7)</f>
        <v>6.1723179000000004</v>
      </c>
      <c r="K13" s="275">
        <f>ROUND(VLOOKUP($E13,'[1]BDEW-Standard'!$B$3:$M$158,K$9,0),7)</f>
        <v>3.9628400000000001E-2</v>
      </c>
      <c r="L13" s="374">
        <f>ROUND(VLOOKUP($E13,'[1]BDEW-Standard'!$B$3:$M$158,L$9,0),1)</f>
        <v>40</v>
      </c>
      <c r="M13" s="275">
        <f>ROUND(VLOOKUP($E13,'[1]BDEW-Standard'!$B$3:$M$158,M$9,0),7)</f>
        <v>-6.7215899999999995E-2</v>
      </c>
      <c r="N13" s="275">
        <f>ROUND(VLOOKUP($E13,'[1]BDEW-Standard'!$B$3:$M$158,N$9,0),7)</f>
        <v>1.1167138000000001</v>
      </c>
      <c r="O13" s="275">
        <f>ROUND(VLOOKUP($E13,'[1]BDEW-Standard'!$B$3:$M$158,O$9,0),7)</f>
        <v>-1.9981999999999999E-3</v>
      </c>
      <c r="P13" s="275">
        <f>ROUND(VLOOKUP($E13,'[1]BDEW-Standard'!$B$3:$M$158,P$9,0),7)</f>
        <v>0.13550699999999999</v>
      </c>
      <c r="Q13" s="375">
        <f t="shared" si="1"/>
        <v>0.99999978578617399</v>
      </c>
      <c r="R13" s="276">
        <f>ROUND(VLOOKUP(MID($E13,4,3),'[1]Wochentag F(WT)'!$B$7:$J$22,R$9,0),4)</f>
        <v>1</v>
      </c>
      <c r="S13" s="276">
        <f>ROUND(VLOOKUP(MID($E13,4,3),'[1]Wochentag F(WT)'!$B$7:$J$22,S$9,0),4)</f>
        <v>1</v>
      </c>
      <c r="T13" s="276">
        <f>ROUND(VLOOKUP(MID($E13,4,3),'[1]Wochentag F(WT)'!$B$7:$J$22,T$9,0),4)</f>
        <v>1</v>
      </c>
      <c r="U13" s="276">
        <f>ROUND(VLOOKUP(MID($E13,4,3),'[1]Wochentag F(WT)'!$B$7:$J$22,U$9,0),4)</f>
        <v>1</v>
      </c>
      <c r="V13" s="276">
        <f>ROUND(VLOOKUP(MID($E13,4,3),'[1]Wochentag F(WT)'!$B$7:$J$22,V$9,0),4)</f>
        <v>1</v>
      </c>
      <c r="W13" s="276">
        <f>ROUND(VLOOKUP(MID($E13,4,3),'[1]Wochentag F(WT)'!$B$7:$J$22,W$9,0),4)</f>
        <v>1</v>
      </c>
      <c r="X13" s="277">
        <f t="shared" ref="X13:X25" si="2">7-SUM(R13:W13)</f>
        <v>1</v>
      </c>
      <c r="Y13" s="297"/>
      <c r="Z13" s="211"/>
    </row>
    <row r="14" spans="2:26" s="142" customFormat="1">
      <c r="B14" s="143">
        <v>3</v>
      </c>
      <c r="C14" s="144" t="str">
        <f t="shared" si="0"/>
        <v>Frankfurt (Oder)</v>
      </c>
      <c r="D14" s="61" t="s">
        <v>248</v>
      </c>
      <c r="E14" s="164" t="s">
        <v>668</v>
      </c>
      <c r="F14" s="301" t="str">
        <f>VLOOKUP($E14,'[1]BDEW-Standard'!$B$3:$M$158,F$9,0)</f>
        <v>2D4</v>
      </c>
      <c r="H14" s="275">
        <f>ROUND(VLOOKUP($E14,'[1]BDEW-Standard'!$B$3:$M$158,H$9,0),7)</f>
        <v>1.0443538000000001</v>
      </c>
      <c r="I14" s="275">
        <f>ROUND(VLOOKUP($E14,'[1]BDEW-Standard'!$B$3:$M$158,I$9,0),7)</f>
        <v>-35.033375399999997</v>
      </c>
      <c r="J14" s="275">
        <f>ROUND(VLOOKUP($E14,'[1]BDEW-Standard'!$B$3:$M$158,J$9,0),7)</f>
        <v>6.2240634000000004</v>
      </c>
      <c r="K14" s="275">
        <f>ROUND(VLOOKUP($E14,'[1]BDEW-Standard'!$B$3:$M$158,K$9,0),7)</f>
        <v>5.0291700000000002E-2</v>
      </c>
      <c r="L14" s="374">
        <f>ROUND(VLOOKUP($E14,'[1]BDEW-Standard'!$B$3:$M$158,L$9,0),1)</f>
        <v>40</v>
      </c>
      <c r="M14" s="275">
        <f>ROUND(VLOOKUP($E14,'[1]BDEW-Standard'!$B$3:$M$158,M$9,0),7)</f>
        <v>-5.3582999999999999E-2</v>
      </c>
      <c r="N14" s="275">
        <f>ROUND(VLOOKUP($E14,'[1]BDEW-Standard'!$B$3:$M$158,N$9,0),7)</f>
        <v>0.99959010000000004</v>
      </c>
      <c r="O14" s="275">
        <f>ROUND(VLOOKUP($E14,'[1]BDEW-Standard'!$B$3:$M$158,O$9,0),7)</f>
        <v>-2.1757999999999999E-3</v>
      </c>
      <c r="P14" s="275">
        <f>ROUND(VLOOKUP($E14,'[1]BDEW-Standard'!$B$3:$M$158,P$9,0),7)</f>
        <v>0.1633299</v>
      </c>
      <c r="Q14" s="375">
        <f t="shared" si="1"/>
        <v>1.0000001838008261</v>
      </c>
      <c r="R14" s="276">
        <f>ROUND(VLOOKUP(MID($E14,4,3),'[1]Wochentag F(WT)'!$B$7:$J$22,R$9,0),4)</f>
        <v>1</v>
      </c>
      <c r="S14" s="276">
        <f>ROUND(VLOOKUP(MID($E14,4,3),'[1]Wochentag F(WT)'!$B$7:$J$22,S$9,0),4)</f>
        <v>1</v>
      </c>
      <c r="T14" s="276">
        <f>ROUND(VLOOKUP(MID($E14,4,3),'[1]Wochentag F(WT)'!$B$7:$J$22,T$9,0),4)</f>
        <v>1</v>
      </c>
      <c r="U14" s="276">
        <f>ROUND(VLOOKUP(MID($E14,4,3),'[1]Wochentag F(WT)'!$B$7:$J$22,U$9,0),4)</f>
        <v>1</v>
      </c>
      <c r="V14" s="276">
        <f>ROUND(VLOOKUP(MID($E14,4,3),'[1]Wochentag F(WT)'!$B$7:$J$22,V$9,0),4)</f>
        <v>1</v>
      </c>
      <c r="W14" s="276">
        <f>ROUND(VLOOKUP(MID($E14,4,3),'[1]Wochentag F(WT)'!$B$7:$J$22,W$9,0),4)</f>
        <v>1</v>
      </c>
      <c r="X14" s="277">
        <f t="shared" si="2"/>
        <v>1</v>
      </c>
      <c r="Y14" s="297"/>
      <c r="Z14" s="211"/>
    </row>
    <row r="15" spans="2:26" s="142" customFormat="1">
      <c r="B15" s="143">
        <v>4</v>
      </c>
      <c r="C15" s="144" t="str">
        <f t="shared" si="0"/>
        <v>Frankfurt (Oder)</v>
      </c>
      <c r="D15" s="61" t="s">
        <v>248</v>
      </c>
      <c r="E15" s="164" t="s">
        <v>669</v>
      </c>
      <c r="F15" s="301" t="str">
        <f>VLOOKUP($E15,'[1]BDEW-Standard'!$B$3:$M$158,F$9,0)</f>
        <v>KM4</v>
      </c>
      <c r="H15" s="275">
        <f>ROUND(VLOOKUP($E15,'[1]BDEW-Standard'!$B$3:$M$158,H$9,0),7)</f>
        <v>1.3284913</v>
      </c>
      <c r="I15" s="275">
        <f>ROUND(VLOOKUP($E15,'[1]BDEW-Standard'!$B$3:$M$158,I$9,0),7)</f>
        <v>-35.871506199999999</v>
      </c>
      <c r="J15" s="275">
        <f>ROUND(VLOOKUP($E15,'[1]BDEW-Standard'!$B$3:$M$158,J$9,0),7)</f>
        <v>7.5186828999999999</v>
      </c>
      <c r="K15" s="275">
        <f>ROUND(VLOOKUP($E15,'[1]BDEW-Standard'!$B$3:$M$158,K$9,0),7)</f>
        <v>1.7554E-2</v>
      </c>
      <c r="L15" s="374">
        <f>ROUND(VLOOKUP($E15,'[1]BDEW-Standard'!$B$3:$M$158,L$9,0),1)</f>
        <v>40</v>
      </c>
      <c r="M15" s="275">
        <f>ROUND(VLOOKUP($E15,'[1]BDEW-Standard'!$B$3:$M$158,M$9,0),7)</f>
        <v>-7.5898300000000002E-2</v>
      </c>
      <c r="N15" s="275">
        <f>ROUND(VLOOKUP($E15,'[1]BDEW-Standard'!$B$3:$M$158,N$9,0),7)</f>
        <v>1.1942554999999999</v>
      </c>
      <c r="O15" s="275">
        <f>ROUND(VLOOKUP($E15,'[1]BDEW-Standard'!$B$3:$M$158,O$9,0),7)</f>
        <v>-8.9800000000000004E-4</v>
      </c>
      <c r="P15" s="275">
        <f>ROUND(VLOOKUP($E15,'[1]BDEW-Standard'!$B$3:$M$158,P$9,0),7)</f>
        <v>6.0333699999999997E-2</v>
      </c>
      <c r="Q15" s="375">
        <f t="shared" si="1"/>
        <v>0.99999979406904638</v>
      </c>
      <c r="R15" s="276">
        <f>ROUND(VLOOKUP(MID($E15,4,3),'[1]Wochentag F(WT)'!$B$7:$J$22,R$9,0),4)</f>
        <v>1.0699000000000001</v>
      </c>
      <c r="S15" s="276">
        <f>ROUND(VLOOKUP(MID($E15,4,3),'[1]Wochentag F(WT)'!$B$7:$J$22,S$9,0),4)</f>
        <v>1.0365</v>
      </c>
      <c r="T15" s="276">
        <f>ROUND(VLOOKUP(MID($E15,4,3),'[1]Wochentag F(WT)'!$B$7:$J$22,T$9,0),4)</f>
        <v>0.99329999999999996</v>
      </c>
      <c r="U15" s="276">
        <f>ROUND(VLOOKUP(MID($E15,4,3),'[1]Wochentag F(WT)'!$B$7:$J$22,U$9,0),4)</f>
        <v>0.99480000000000002</v>
      </c>
      <c r="V15" s="276">
        <f>ROUND(VLOOKUP(MID($E15,4,3),'[1]Wochentag F(WT)'!$B$7:$J$22,V$9,0),4)</f>
        <v>1.0659000000000001</v>
      </c>
      <c r="W15" s="276">
        <f>ROUND(VLOOKUP(MID($E15,4,3),'[1]Wochentag F(WT)'!$B$7:$J$22,W$9,0),4)</f>
        <v>0.93620000000000003</v>
      </c>
      <c r="X15" s="277">
        <f t="shared" si="2"/>
        <v>0.90339999999999954</v>
      </c>
      <c r="Y15" s="297"/>
      <c r="Z15" s="211"/>
    </row>
    <row r="16" spans="2:26" s="142" customFormat="1">
      <c r="B16" s="143">
        <v>5</v>
      </c>
      <c r="C16" s="144" t="str">
        <f t="shared" si="0"/>
        <v>Frankfurt (Oder)</v>
      </c>
      <c r="D16" s="61" t="s">
        <v>248</v>
      </c>
      <c r="E16" s="164" t="s">
        <v>670</v>
      </c>
      <c r="F16" s="301" t="str">
        <f>VLOOKUP($E16,'[1]BDEW-Standard'!$B$3:$M$158,F$9,0)</f>
        <v>DP4</v>
      </c>
      <c r="H16" s="275">
        <f>ROUND(VLOOKUP($E16,'[1]BDEW-Standard'!$B$3:$M$158,H$9,0),7)</f>
        <v>1.8834609</v>
      </c>
      <c r="I16" s="275">
        <f>ROUND(VLOOKUP($E16,'[1]BDEW-Standard'!$B$3:$M$158,I$9,0),7)</f>
        <v>-37</v>
      </c>
      <c r="J16" s="275">
        <f>ROUND(VLOOKUP($E16,'[1]BDEW-Standard'!$B$3:$M$158,J$9,0),7)</f>
        <v>10.2405021</v>
      </c>
      <c r="K16" s="275">
        <f>ROUND(VLOOKUP($E16,'[1]BDEW-Standard'!$B$3:$M$158,K$9,0),7)</f>
        <v>2.7546999999999999E-2</v>
      </c>
      <c r="L16" s="374">
        <f>ROUND(VLOOKUP($E16,'[1]BDEW-Standard'!$B$3:$M$158,L$9,0),1)</f>
        <v>40</v>
      </c>
      <c r="M16" s="275">
        <f>ROUND(VLOOKUP($E16,'[1]BDEW-Standard'!$B$3:$M$158,M$9,0),7)</f>
        <v>-0.12531</v>
      </c>
      <c r="N16" s="275">
        <f>ROUND(VLOOKUP($E16,'[1]BDEW-Standard'!$B$3:$M$158,N$9,0),7)</f>
        <v>1.6275999000000001</v>
      </c>
      <c r="O16" s="275">
        <f>ROUND(VLOOKUP($E16,'[1]BDEW-Standard'!$B$3:$M$158,O$9,0),7)</f>
        <v>-1.105E-4</v>
      </c>
      <c r="P16" s="275">
        <f>ROUND(VLOOKUP($E16,'[1]BDEW-Standard'!$B$3:$M$158,P$9,0),7)</f>
        <v>6.3511899999999996E-2</v>
      </c>
      <c r="Q16" s="375">
        <f t="shared" si="1"/>
        <v>0.99999976624159248</v>
      </c>
      <c r="R16" s="276">
        <f>ROUND(VLOOKUP(MID($E16,4,3),'[1]Wochentag F(WT)'!$B$7:$J$22,R$9,0),4)</f>
        <v>1.0214000000000001</v>
      </c>
      <c r="S16" s="276">
        <f>ROUND(VLOOKUP(MID($E16,4,3),'[1]Wochentag F(WT)'!$B$7:$J$22,S$9,0),4)</f>
        <v>1.0866</v>
      </c>
      <c r="T16" s="276">
        <f>ROUND(VLOOKUP(MID($E16,4,3),'[1]Wochentag F(WT)'!$B$7:$J$22,T$9,0),4)</f>
        <v>1.0720000000000001</v>
      </c>
      <c r="U16" s="276">
        <f>ROUND(VLOOKUP(MID($E16,4,3),'[1]Wochentag F(WT)'!$B$7:$J$22,U$9,0),4)</f>
        <v>1.0557000000000001</v>
      </c>
      <c r="V16" s="276">
        <f>ROUND(VLOOKUP(MID($E16,4,3),'[1]Wochentag F(WT)'!$B$7:$J$22,V$9,0),4)</f>
        <v>1.0117</v>
      </c>
      <c r="W16" s="276">
        <f>ROUND(VLOOKUP(MID($E16,4,3),'[1]Wochentag F(WT)'!$B$7:$J$22,W$9,0),4)</f>
        <v>0.90010000000000001</v>
      </c>
      <c r="X16" s="277">
        <f t="shared" si="2"/>
        <v>0.85249999999999915</v>
      </c>
      <c r="Y16" s="297"/>
      <c r="Z16" s="211"/>
    </row>
    <row r="17" spans="2:26" s="142" customFormat="1">
      <c r="B17" s="143">
        <v>6</v>
      </c>
      <c r="C17" s="144" t="str">
        <f t="shared" si="0"/>
        <v>Frankfurt (Oder)</v>
      </c>
      <c r="D17" s="61" t="s">
        <v>248</v>
      </c>
      <c r="E17" s="164" t="s">
        <v>671</v>
      </c>
      <c r="F17" s="301" t="str">
        <f>VLOOKUP($E17,'[1]BDEW-Standard'!$B$3:$M$158,F$9,0)</f>
        <v>AH4</v>
      </c>
      <c r="H17" s="275">
        <f>ROUND(VLOOKUP($E17,'[1]BDEW-Standard'!$B$3:$M$158,H$9,0),7)</f>
        <v>1.8398455</v>
      </c>
      <c r="I17" s="275">
        <f>ROUND(VLOOKUP($E17,'[1]BDEW-Standard'!$B$3:$M$158,I$9,0),7)</f>
        <v>-37.828203700000003</v>
      </c>
      <c r="J17" s="275">
        <f>ROUND(VLOOKUP($E17,'[1]BDEW-Standard'!$B$3:$M$158,J$9,0),7)</f>
        <v>8.1593368999999996</v>
      </c>
      <c r="K17" s="275">
        <f>ROUND(VLOOKUP($E17,'[1]BDEW-Standard'!$B$3:$M$158,K$9,0),7)</f>
        <v>2.5971000000000001E-2</v>
      </c>
      <c r="L17" s="374">
        <f>ROUND(VLOOKUP($E17,'[1]BDEW-Standard'!$B$3:$M$158,L$9,0),1)</f>
        <v>40</v>
      </c>
      <c r="M17" s="275">
        <f>ROUND(VLOOKUP($E17,'[1]BDEW-Standard'!$B$3:$M$158,M$9,0),7)</f>
        <v>-0.1069262</v>
      </c>
      <c r="N17" s="275">
        <f>ROUND(VLOOKUP($E17,'[1]BDEW-Standard'!$B$3:$M$158,N$9,0),7)</f>
        <v>1.4552240000000001</v>
      </c>
      <c r="O17" s="275">
        <f>ROUND(VLOOKUP($E17,'[1]BDEW-Standard'!$B$3:$M$158,O$9,0),7)</f>
        <v>-4.9200000000000003E-4</v>
      </c>
      <c r="P17" s="275">
        <f>ROUND(VLOOKUP($E17,'[1]BDEW-Standard'!$B$3:$M$158,P$9,0),7)</f>
        <v>6.9185099999999999E-2</v>
      </c>
      <c r="Q17" s="375">
        <f t="shared" si="1"/>
        <v>0.99999974325043151</v>
      </c>
      <c r="R17" s="276">
        <f>ROUND(VLOOKUP(MID($E17,4,3),'[1]Wochentag F(WT)'!$B$7:$J$22,R$9,0),4)</f>
        <v>1.0358000000000001</v>
      </c>
      <c r="S17" s="276">
        <f>ROUND(VLOOKUP(MID($E17,4,3),'[1]Wochentag F(WT)'!$B$7:$J$22,S$9,0),4)</f>
        <v>1.0232000000000001</v>
      </c>
      <c r="T17" s="276">
        <f>ROUND(VLOOKUP(MID($E17,4,3),'[1]Wochentag F(WT)'!$B$7:$J$22,T$9,0),4)</f>
        <v>1.0251999999999999</v>
      </c>
      <c r="U17" s="276">
        <f>ROUND(VLOOKUP(MID($E17,4,3),'[1]Wochentag F(WT)'!$B$7:$J$22,U$9,0),4)</f>
        <v>1.0295000000000001</v>
      </c>
      <c r="V17" s="276">
        <f>ROUND(VLOOKUP(MID($E17,4,3),'[1]Wochentag F(WT)'!$B$7:$J$22,V$9,0),4)</f>
        <v>1.0253000000000001</v>
      </c>
      <c r="W17" s="276">
        <f>ROUND(VLOOKUP(MID($E17,4,3),'[1]Wochentag F(WT)'!$B$7:$J$22,W$9,0),4)</f>
        <v>0.96750000000000003</v>
      </c>
      <c r="X17" s="277">
        <f t="shared" si="2"/>
        <v>0.89350000000000041</v>
      </c>
      <c r="Y17" s="297"/>
      <c r="Z17" s="211"/>
    </row>
    <row r="18" spans="2:26" s="142" customFormat="1">
      <c r="B18" s="143">
        <v>7</v>
      </c>
      <c r="C18" s="144" t="str">
        <f t="shared" si="0"/>
        <v>Frankfurt (Oder)</v>
      </c>
      <c r="D18" s="61" t="s">
        <v>248</v>
      </c>
      <c r="E18" s="164" t="s">
        <v>672</v>
      </c>
      <c r="F18" s="301" t="str">
        <f>VLOOKUP($E18,'[1]BDEW-Standard'!$B$3:$M$158,F$9,0)</f>
        <v>DB4</v>
      </c>
      <c r="H18" s="275">
        <f>ROUND(VLOOKUP($E18,'[1]BDEW-Standard'!$B$3:$M$158,H$9,0),7)</f>
        <v>1.5175791999999999</v>
      </c>
      <c r="I18" s="275">
        <f>ROUND(VLOOKUP($E18,'[1]BDEW-Standard'!$B$3:$M$158,I$9,0),7)</f>
        <v>-37.5</v>
      </c>
      <c r="J18" s="275">
        <f>ROUND(VLOOKUP($E18,'[1]BDEW-Standard'!$B$3:$M$158,J$9,0),7)</f>
        <v>6.8</v>
      </c>
      <c r="K18" s="275">
        <f>ROUND(VLOOKUP($E18,'[1]BDEW-Standard'!$B$3:$M$158,K$9,0),7)</f>
        <v>2.9580100000000002E-2</v>
      </c>
      <c r="L18" s="374">
        <f>ROUND(VLOOKUP($E18,'[1]BDEW-Standard'!$B$3:$M$158,L$9,0),1)</f>
        <v>40</v>
      </c>
      <c r="M18" s="275">
        <f>ROUND(VLOOKUP($E18,'[1]BDEW-Standard'!$B$3:$M$158,M$9,0),7)</f>
        <v>-7.8855900000000007E-2</v>
      </c>
      <c r="N18" s="275">
        <f>ROUND(VLOOKUP($E18,'[1]BDEW-Standard'!$B$3:$M$158,N$9,0),7)</f>
        <v>1.2161249999999999</v>
      </c>
      <c r="O18" s="275">
        <f>ROUND(VLOOKUP($E18,'[1]BDEW-Standard'!$B$3:$M$158,O$9,0),7)</f>
        <v>-1.3133999999999999E-3</v>
      </c>
      <c r="P18" s="275">
        <f>ROUND(VLOOKUP($E18,'[1]BDEW-Standard'!$B$3:$M$158,P$9,0),7)</f>
        <v>9.6872100000000003E-2</v>
      </c>
      <c r="Q18" s="375">
        <f t="shared" si="1"/>
        <v>1.0000002163173649</v>
      </c>
      <c r="R18" s="276">
        <f>ROUND(VLOOKUP(MID($E18,4,3),'[1]Wochentag F(WT)'!$B$7:$J$22,R$9,0),4)</f>
        <v>1.1052</v>
      </c>
      <c r="S18" s="276">
        <f>ROUND(VLOOKUP(MID($E18,4,3),'[1]Wochentag F(WT)'!$B$7:$J$22,S$9,0),4)</f>
        <v>1.0857000000000001</v>
      </c>
      <c r="T18" s="276">
        <f>ROUND(VLOOKUP(MID($E18,4,3),'[1]Wochentag F(WT)'!$B$7:$J$22,T$9,0),4)</f>
        <v>1.0378000000000001</v>
      </c>
      <c r="U18" s="276">
        <f>ROUND(VLOOKUP(MID($E18,4,3),'[1]Wochentag F(WT)'!$B$7:$J$22,U$9,0),4)</f>
        <v>1.0622</v>
      </c>
      <c r="V18" s="276">
        <f>ROUND(VLOOKUP(MID($E18,4,3),'[1]Wochentag F(WT)'!$B$7:$J$22,V$9,0),4)</f>
        <v>1.0266</v>
      </c>
      <c r="W18" s="276">
        <f>ROUND(VLOOKUP(MID($E18,4,3),'[1]Wochentag F(WT)'!$B$7:$J$22,W$9,0),4)</f>
        <v>0.76290000000000002</v>
      </c>
      <c r="X18" s="277">
        <f t="shared" si="2"/>
        <v>0.91959999999999997</v>
      </c>
      <c r="Y18" s="297"/>
      <c r="Z18" s="211"/>
    </row>
    <row r="19" spans="2:26" s="142" customFormat="1">
      <c r="B19" s="143">
        <v>8</v>
      </c>
      <c r="C19" s="144" t="str">
        <f t="shared" si="0"/>
        <v>Frankfurt (Oder)</v>
      </c>
      <c r="D19" s="61" t="s">
        <v>248</v>
      </c>
      <c r="E19" s="164" t="s">
        <v>516</v>
      </c>
      <c r="F19" s="301" t="str">
        <f>VLOOKUP($E19,'[1]BDEW-Standard'!$B$3:$M$158,F$9,0)</f>
        <v>OK4</v>
      </c>
      <c r="H19" s="275">
        <f>ROUND(VLOOKUP($E19,'[1]BDEW-Standard'!$B$3:$M$158,H$9,0),7)</f>
        <v>1.4256683999999999</v>
      </c>
      <c r="I19" s="275">
        <f>ROUND(VLOOKUP($E19,'[1]BDEW-Standard'!$B$3:$M$158,I$9,0),7)</f>
        <v>-36.659050399999998</v>
      </c>
      <c r="J19" s="275">
        <f>ROUND(VLOOKUP($E19,'[1]BDEW-Standard'!$B$3:$M$158,J$9,0),7)</f>
        <v>7.6083226000000002</v>
      </c>
      <c r="K19" s="275">
        <f>ROUND(VLOOKUP($E19,'[1]BDEW-Standard'!$B$3:$M$158,K$9,0),7)</f>
        <v>3.7111600000000002E-2</v>
      </c>
      <c r="L19" s="374">
        <f>ROUND(VLOOKUP($E19,'[1]BDEW-Standard'!$B$3:$M$158,L$9,0),1)</f>
        <v>40</v>
      </c>
      <c r="M19" s="275">
        <f>ROUND(VLOOKUP($E19,'[1]BDEW-Standard'!$B$3:$M$158,M$9,0),7)</f>
        <v>-8.0935900000000005E-2</v>
      </c>
      <c r="N19" s="275">
        <f>ROUND(VLOOKUP($E19,'[1]BDEW-Standard'!$B$3:$M$158,N$9,0),7)</f>
        <v>1.2364527000000001</v>
      </c>
      <c r="O19" s="275">
        <f>ROUND(VLOOKUP($E19,'[1]BDEW-Standard'!$B$3:$M$158,O$9,0),7)</f>
        <v>-7.628E-4</v>
      </c>
      <c r="P19" s="275">
        <f>ROUND(VLOOKUP($E19,'[1]BDEW-Standard'!$B$3:$M$158,P$9,0),7)</f>
        <v>0.1002979</v>
      </c>
      <c r="Q19" s="375">
        <f t="shared" si="1"/>
        <v>0.99999996033498917</v>
      </c>
      <c r="R19" s="276">
        <f>ROUND(VLOOKUP(MID($E19,4,3),'[1]Wochentag F(WT)'!$B$7:$J$22,R$9,0),4)</f>
        <v>1.0354000000000001</v>
      </c>
      <c r="S19" s="276">
        <f>ROUND(VLOOKUP(MID($E19,4,3),'[1]Wochentag F(WT)'!$B$7:$J$22,S$9,0),4)</f>
        <v>1.0523</v>
      </c>
      <c r="T19" s="276">
        <f>ROUND(VLOOKUP(MID($E19,4,3),'[1]Wochentag F(WT)'!$B$7:$J$22,T$9,0),4)</f>
        <v>1.0448999999999999</v>
      </c>
      <c r="U19" s="276">
        <f>ROUND(VLOOKUP(MID($E19,4,3),'[1]Wochentag F(WT)'!$B$7:$J$22,U$9,0),4)</f>
        <v>1.0494000000000001</v>
      </c>
      <c r="V19" s="276">
        <f>ROUND(VLOOKUP(MID($E19,4,3),'[1]Wochentag F(WT)'!$B$7:$J$22,V$9,0),4)</f>
        <v>0.98850000000000005</v>
      </c>
      <c r="W19" s="276">
        <f>ROUND(VLOOKUP(MID($E19,4,3),'[1]Wochentag F(WT)'!$B$7:$J$22,W$9,0),4)</f>
        <v>0.88600000000000001</v>
      </c>
      <c r="X19" s="277">
        <f t="shared" si="2"/>
        <v>0.94349999999999934</v>
      </c>
      <c r="Y19" s="297"/>
      <c r="Z19" s="211"/>
    </row>
    <row r="20" spans="2:26" s="142" customFormat="1">
      <c r="B20" s="143">
        <v>9</v>
      </c>
      <c r="C20" s="144" t="str">
        <f t="shared" si="0"/>
        <v>Frankfurt (Oder)</v>
      </c>
      <c r="D20" s="61" t="s">
        <v>248</v>
      </c>
      <c r="E20" s="164" t="s">
        <v>673</v>
      </c>
      <c r="F20" s="301" t="str">
        <f>VLOOKUP($E20,'[1]BDEW-Standard'!$B$3:$M$158,F$9,0)</f>
        <v>HB4</v>
      </c>
      <c r="H20" s="275">
        <f>ROUND(VLOOKUP($E20,'[1]BDEW-Standard'!$B$3:$M$158,H$9,0),7)</f>
        <v>0.98725850000000004</v>
      </c>
      <c r="I20" s="275">
        <f>ROUND(VLOOKUP($E20,'[1]BDEW-Standard'!$B$3:$M$158,I$9,0),7)</f>
        <v>-35.253212400000002</v>
      </c>
      <c r="J20" s="275">
        <f>ROUND(VLOOKUP($E20,'[1]BDEW-Standard'!$B$3:$M$158,J$9,0),7)</f>
        <v>6.0587001000000003</v>
      </c>
      <c r="K20" s="275">
        <f>ROUND(VLOOKUP($E20,'[1]BDEW-Standard'!$B$3:$M$158,K$9,0),7)</f>
        <v>7.9351199999999997E-2</v>
      </c>
      <c r="L20" s="374">
        <f>ROUND(VLOOKUP($E20,'[1]BDEW-Standard'!$B$3:$M$158,L$9,0),1)</f>
        <v>40</v>
      </c>
      <c r="M20" s="275">
        <f>ROUND(VLOOKUP($E20,'[1]BDEW-Standard'!$B$3:$M$158,M$9,0),7)</f>
        <v>-4.9501299999999998E-2</v>
      </c>
      <c r="N20" s="275">
        <f>ROUND(VLOOKUP($E20,'[1]BDEW-Standard'!$B$3:$M$158,N$9,0),7)</f>
        <v>0.96379990000000004</v>
      </c>
      <c r="O20" s="275">
        <f>ROUND(VLOOKUP($E20,'[1]BDEW-Standard'!$B$3:$M$158,O$9,0),7)</f>
        <v>-2.2304E-3</v>
      </c>
      <c r="P20" s="275">
        <f>ROUND(VLOOKUP($E20,'[1]BDEW-Standard'!$B$3:$M$158,P$9,0),7)</f>
        <v>0.22883980000000001</v>
      </c>
      <c r="Q20" s="375">
        <f t="shared" si="1"/>
        <v>1.000000249892145</v>
      </c>
      <c r="R20" s="276">
        <f>ROUND(VLOOKUP(MID($E20,4,3),'[1]Wochentag F(WT)'!$B$7:$J$22,R$9,0),4)</f>
        <v>0.97670000000000001</v>
      </c>
      <c r="S20" s="276">
        <f>ROUND(VLOOKUP(MID($E20,4,3),'[1]Wochentag F(WT)'!$B$7:$J$22,S$9,0),4)</f>
        <v>1.0388999999999999</v>
      </c>
      <c r="T20" s="276">
        <f>ROUND(VLOOKUP(MID($E20,4,3),'[1]Wochentag F(WT)'!$B$7:$J$22,T$9,0),4)</f>
        <v>1.0027999999999999</v>
      </c>
      <c r="U20" s="276">
        <f>ROUND(VLOOKUP(MID($E20,4,3),'[1]Wochentag F(WT)'!$B$7:$J$22,U$9,0),4)</f>
        <v>1.0162</v>
      </c>
      <c r="V20" s="276">
        <f>ROUND(VLOOKUP(MID($E20,4,3),'[1]Wochentag F(WT)'!$B$7:$J$22,V$9,0),4)</f>
        <v>1.0024</v>
      </c>
      <c r="W20" s="276">
        <f>ROUND(VLOOKUP(MID($E20,4,3),'[1]Wochentag F(WT)'!$B$7:$J$22,W$9,0),4)</f>
        <v>1.0043</v>
      </c>
      <c r="X20" s="277">
        <f t="shared" si="2"/>
        <v>0.95870000000000122</v>
      </c>
      <c r="Y20" s="297"/>
      <c r="Z20" s="211"/>
    </row>
    <row r="21" spans="2:26" s="142" customFormat="1">
      <c r="B21" s="143">
        <v>10</v>
      </c>
      <c r="C21" s="144" t="str">
        <f t="shared" si="0"/>
        <v>Frankfurt (Oder)</v>
      </c>
      <c r="D21" s="61" t="s">
        <v>248</v>
      </c>
      <c r="E21" s="164" t="s">
        <v>674</v>
      </c>
      <c r="F21" s="301" t="str">
        <f>VLOOKUP($E21,'[1]BDEW-Standard'!$B$3:$M$158,F$9,0)</f>
        <v>AG4</v>
      </c>
      <c r="H21" s="275">
        <f>ROUND(VLOOKUP($E21,'[1]BDEW-Standard'!$B$3:$M$158,H$9,0),7)</f>
        <v>1.1848320000000001</v>
      </c>
      <c r="I21" s="275">
        <f>ROUND(VLOOKUP($E21,'[1]BDEW-Standard'!$B$3:$M$158,I$9,0),7)</f>
        <v>-36</v>
      </c>
      <c r="J21" s="275">
        <f>ROUND(VLOOKUP($E21,'[1]BDEW-Standard'!$B$3:$M$158,J$9,0),7)</f>
        <v>7.7368518000000002</v>
      </c>
      <c r="K21" s="275">
        <f>ROUND(VLOOKUP($E21,'[1]BDEW-Standard'!$B$3:$M$158,K$9,0),7)</f>
        <v>7.9310699999999998E-2</v>
      </c>
      <c r="L21" s="374">
        <f>ROUND(VLOOKUP($E21,'[1]BDEW-Standard'!$B$3:$M$158,L$9,0),1)</f>
        <v>40</v>
      </c>
      <c r="M21" s="275">
        <f>ROUND(VLOOKUP($E21,'[1]BDEW-Standard'!$B$3:$M$158,M$9,0),7)</f>
        <v>-6.8738300000000002E-2</v>
      </c>
      <c r="N21" s="275">
        <f>ROUND(VLOOKUP($E21,'[1]BDEW-Standard'!$B$3:$M$158,N$9,0),7)</f>
        <v>1.130857</v>
      </c>
      <c r="O21" s="275">
        <f>ROUND(VLOOKUP($E21,'[1]BDEW-Standard'!$B$3:$M$158,O$9,0),7)</f>
        <v>-6.5870000000000002E-4</v>
      </c>
      <c r="P21" s="275">
        <f>ROUND(VLOOKUP($E21,'[1]BDEW-Standard'!$B$3:$M$158,P$9,0),7)</f>
        <v>0.19103010000000001</v>
      </c>
      <c r="Q21" s="375">
        <f t="shared" si="1"/>
        <v>1.0000000851295017</v>
      </c>
      <c r="R21" s="276">
        <f>ROUND(VLOOKUP(MID($E21,4,3),'[1]Wochentag F(WT)'!$B$7:$J$22,R$9,0),4)</f>
        <v>0.93220000000000003</v>
      </c>
      <c r="S21" s="276">
        <f>ROUND(VLOOKUP(MID($E21,4,3),'[1]Wochentag F(WT)'!$B$7:$J$22,S$9,0),4)</f>
        <v>0.98939999999999995</v>
      </c>
      <c r="T21" s="276">
        <f>ROUND(VLOOKUP(MID($E21,4,3),'[1]Wochentag F(WT)'!$B$7:$J$22,T$9,0),4)</f>
        <v>1.0033000000000001</v>
      </c>
      <c r="U21" s="276">
        <f>ROUND(VLOOKUP(MID($E21,4,3),'[1]Wochentag F(WT)'!$B$7:$J$22,U$9,0),4)</f>
        <v>1.0108999999999999</v>
      </c>
      <c r="V21" s="276">
        <f>ROUND(VLOOKUP(MID($E21,4,3),'[1]Wochentag F(WT)'!$B$7:$J$22,V$9,0),4)</f>
        <v>1.018</v>
      </c>
      <c r="W21" s="276">
        <f>ROUND(VLOOKUP(MID($E21,4,3),'[1]Wochentag F(WT)'!$B$7:$J$22,W$9,0),4)</f>
        <v>1.0356000000000001</v>
      </c>
      <c r="X21" s="277">
        <f t="shared" si="2"/>
        <v>1.0106000000000002</v>
      </c>
      <c r="Y21" s="297"/>
      <c r="Z21" s="211"/>
    </row>
    <row r="22" spans="2:26" s="142" customFormat="1">
      <c r="B22" s="143">
        <v>11</v>
      </c>
      <c r="C22" s="144" t="str">
        <f t="shared" si="0"/>
        <v>Frankfurt (Oder)</v>
      </c>
      <c r="D22" s="61" t="s">
        <v>248</v>
      </c>
      <c r="E22" s="164" t="s">
        <v>675</v>
      </c>
      <c r="F22" s="301" t="str">
        <f>VLOOKUP($E22,'[1]BDEW-Standard'!$B$3:$M$158,F$9,0)</f>
        <v>AB4</v>
      </c>
      <c r="H22" s="275">
        <f>ROUND(VLOOKUP($E22,'[1]BDEW-Standard'!$B$3:$M$158,H$9,0),7)</f>
        <v>0.35376400000000002</v>
      </c>
      <c r="I22" s="275">
        <f>ROUND(VLOOKUP($E22,'[1]BDEW-Standard'!$B$3:$M$158,I$9,0),7)</f>
        <v>-33.35</v>
      </c>
      <c r="J22" s="275">
        <f>ROUND(VLOOKUP($E22,'[1]BDEW-Standard'!$B$3:$M$158,J$9,0),7)</f>
        <v>5.7212303000000002</v>
      </c>
      <c r="K22" s="275">
        <f>ROUND(VLOOKUP($E22,'[1]BDEW-Standard'!$B$3:$M$158,K$9,0),7)</f>
        <v>0.3033305</v>
      </c>
      <c r="L22" s="374">
        <f>ROUND(VLOOKUP($E22,'[1]BDEW-Standard'!$B$3:$M$158,L$9,0),1)</f>
        <v>40</v>
      </c>
      <c r="M22" s="275">
        <f>ROUND(VLOOKUP($E22,'[1]BDEW-Standard'!$B$3:$M$158,M$9,0),7)</f>
        <v>-1.77463E-2</v>
      </c>
      <c r="N22" s="275">
        <f>ROUND(VLOOKUP($E22,'[1]BDEW-Standard'!$B$3:$M$158,N$9,0),7)</f>
        <v>0.68256989999999995</v>
      </c>
      <c r="O22" s="275">
        <f>ROUND(VLOOKUP($E22,'[1]BDEW-Standard'!$B$3:$M$158,O$9,0),7)</f>
        <v>-1.3912E-3</v>
      </c>
      <c r="P22" s="275">
        <f>ROUND(VLOOKUP($E22,'[1]BDEW-Standard'!$B$3:$M$158,P$9,0),7)</f>
        <v>0.54346240000000001</v>
      </c>
      <c r="Q22" s="375">
        <f t="shared" si="1"/>
        <v>1.0000003335127634</v>
      </c>
      <c r="R22" s="276">
        <f>ROUND(VLOOKUP(MID($E22,4,3),'[1]Wochentag F(WT)'!$B$7:$J$22,R$9,0),4)</f>
        <v>1.0848</v>
      </c>
      <c r="S22" s="276">
        <f>ROUND(VLOOKUP(MID($E22,4,3),'[1]Wochentag F(WT)'!$B$7:$J$22,S$9,0),4)</f>
        <v>1.1211</v>
      </c>
      <c r="T22" s="276">
        <f>ROUND(VLOOKUP(MID($E22,4,3),'[1]Wochentag F(WT)'!$B$7:$J$22,T$9,0),4)</f>
        <v>1.0769</v>
      </c>
      <c r="U22" s="276">
        <f>ROUND(VLOOKUP(MID($E22,4,3),'[1]Wochentag F(WT)'!$B$7:$J$22,U$9,0),4)</f>
        <v>1.1353</v>
      </c>
      <c r="V22" s="276">
        <f>ROUND(VLOOKUP(MID($E22,4,3),'[1]Wochentag F(WT)'!$B$7:$J$22,V$9,0),4)</f>
        <v>1.1402000000000001</v>
      </c>
      <c r="W22" s="276">
        <f>ROUND(VLOOKUP(MID($E22,4,3),'[1]Wochentag F(WT)'!$B$7:$J$22,W$9,0),4)</f>
        <v>0.48520000000000002</v>
      </c>
      <c r="X22" s="277">
        <f t="shared" si="2"/>
        <v>0.95650000000000013</v>
      </c>
      <c r="Y22" s="297"/>
      <c r="Z22" s="211"/>
    </row>
    <row r="23" spans="2:26" s="142" customFormat="1">
      <c r="B23" s="143">
        <v>12</v>
      </c>
      <c r="C23" s="144" t="str">
        <f t="shared" si="0"/>
        <v>Frankfurt (Oder)</v>
      </c>
      <c r="D23" s="61" t="s">
        <v>248</v>
      </c>
      <c r="E23" s="164" t="s">
        <v>676</v>
      </c>
      <c r="F23" s="301" t="str">
        <f>VLOOKUP($E23,'[1]BDEW-Standard'!$B$3:$M$158,F$9,0)</f>
        <v>AW4</v>
      </c>
      <c r="H23" s="275">
        <f>ROUND(VLOOKUP($E23,'[1]BDEW-Standard'!$B$3:$M$158,H$9,0),7)</f>
        <v>0.39253389999999999</v>
      </c>
      <c r="I23" s="275">
        <f>ROUND(VLOOKUP($E23,'[1]BDEW-Standard'!$B$3:$M$158,I$9,0),7)</f>
        <v>-35.299999999999997</v>
      </c>
      <c r="J23" s="275">
        <f>ROUND(VLOOKUP($E23,'[1]BDEW-Standard'!$B$3:$M$158,J$9,0),7)</f>
        <v>4.8662747</v>
      </c>
      <c r="K23" s="275">
        <f>ROUND(VLOOKUP($E23,'[1]BDEW-Standard'!$B$3:$M$158,K$9,0),7)</f>
        <v>0.3045099</v>
      </c>
      <c r="L23" s="374">
        <f>ROUND(VLOOKUP($E23,'[1]BDEW-Standard'!$B$3:$M$158,L$9,0),1)</f>
        <v>40</v>
      </c>
      <c r="M23" s="275">
        <f>ROUND(VLOOKUP($E23,'[1]BDEW-Standard'!$B$3:$M$158,M$9,0),7)</f>
        <v>-1.67993E-2</v>
      </c>
      <c r="N23" s="275">
        <f>ROUND(VLOOKUP($E23,'[1]BDEW-Standard'!$B$3:$M$158,N$9,0),7)</f>
        <v>0.67108889999999999</v>
      </c>
      <c r="O23" s="275">
        <f>ROUND(VLOOKUP($E23,'[1]BDEW-Standard'!$B$3:$M$158,O$9,0),7)</f>
        <v>-2.0301E-3</v>
      </c>
      <c r="P23" s="275">
        <f>ROUND(VLOOKUP($E23,'[1]BDEW-Standard'!$B$3:$M$158,P$9,0),7)</f>
        <v>0.56146229999999997</v>
      </c>
      <c r="Q23" s="375">
        <f t="shared" si="1"/>
        <v>0.99999985965518789</v>
      </c>
      <c r="R23" s="276">
        <f>ROUND(VLOOKUP(MID($E23,4,3),'[1]Wochentag F(WT)'!$B$7:$J$22,R$9,0),4)</f>
        <v>1.2457</v>
      </c>
      <c r="S23" s="276">
        <f>ROUND(VLOOKUP(MID($E23,4,3),'[1]Wochentag F(WT)'!$B$7:$J$22,S$9,0),4)</f>
        <v>1.2615000000000001</v>
      </c>
      <c r="T23" s="276">
        <f>ROUND(VLOOKUP(MID($E23,4,3),'[1]Wochentag F(WT)'!$B$7:$J$22,T$9,0),4)</f>
        <v>1.2706999999999999</v>
      </c>
      <c r="U23" s="276">
        <f>ROUND(VLOOKUP(MID($E23,4,3),'[1]Wochentag F(WT)'!$B$7:$J$22,U$9,0),4)</f>
        <v>1.2430000000000001</v>
      </c>
      <c r="V23" s="276">
        <f>ROUND(VLOOKUP(MID($E23,4,3),'[1]Wochentag F(WT)'!$B$7:$J$22,V$9,0),4)</f>
        <v>1.1275999999999999</v>
      </c>
      <c r="W23" s="276">
        <f>ROUND(VLOOKUP(MID($E23,4,3),'[1]Wochentag F(WT)'!$B$7:$J$22,W$9,0),4)</f>
        <v>0.38769999999999999</v>
      </c>
      <c r="X23" s="277">
        <f t="shared" si="2"/>
        <v>0.46379999999999999</v>
      </c>
      <c r="Y23" s="297"/>
      <c r="Z23" s="211"/>
    </row>
    <row r="24" spans="2:26" s="142" customFormat="1">
      <c r="B24" s="143">
        <v>13</v>
      </c>
      <c r="C24" s="144" t="str">
        <f t="shared" si="0"/>
        <v>Frankfurt (Oder)</v>
      </c>
      <c r="D24" s="61" t="s">
        <v>248</v>
      </c>
      <c r="E24" s="164" t="s">
        <v>677</v>
      </c>
      <c r="F24" s="301" t="str">
        <f>VLOOKUP($E24,'[1]BDEW-Standard'!$B$3:$M$158,F$9,0)</f>
        <v>BG4</v>
      </c>
      <c r="H24" s="275">
        <f>ROUND(VLOOKUP($E24,'[1]BDEW-Standard'!$B$3:$M$158,H$9,0),7)</f>
        <v>1.6266811999999999</v>
      </c>
      <c r="I24" s="275">
        <f>ROUND(VLOOKUP($E24,'[1]BDEW-Standard'!$B$3:$M$158,I$9,0),7)</f>
        <v>-37.882536799999997</v>
      </c>
      <c r="J24" s="275">
        <f>ROUND(VLOOKUP($E24,'[1]BDEW-Standard'!$B$3:$M$158,J$9,0),7)</f>
        <v>6.9836070000000001</v>
      </c>
      <c r="K24" s="275">
        <f>ROUND(VLOOKUP($E24,'[1]BDEW-Standard'!$B$3:$M$158,K$9,0),7)</f>
        <v>2.97136E-2</v>
      </c>
      <c r="L24" s="374">
        <f>ROUND(VLOOKUP($E24,'[1]BDEW-Standard'!$B$3:$M$158,L$9,0),1)</f>
        <v>40</v>
      </c>
      <c r="M24" s="275">
        <f>ROUND(VLOOKUP($E24,'[1]BDEW-Standard'!$B$3:$M$158,M$9,0),7)</f>
        <v>-8.5433300000000004E-2</v>
      </c>
      <c r="N24" s="275">
        <f>ROUND(VLOOKUP($E24,'[1]BDEW-Standard'!$B$3:$M$158,N$9,0),7)</f>
        <v>1.2709629</v>
      </c>
      <c r="O24" s="275">
        <f>ROUND(VLOOKUP($E24,'[1]BDEW-Standard'!$B$3:$M$158,O$9,0),7)</f>
        <v>-1.1318999999999999E-3</v>
      </c>
      <c r="P24" s="275">
        <f>ROUND(VLOOKUP($E24,'[1]BDEW-Standard'!$B$3:$M$158,P$9,0),7)</f>
        <v>9.2812400000000003E-2</v>
      </c>
      <c r="Q24" s="375">
        <f t="shared" si="1"/>
        <v>0.99999990532820671</v>
      </c>
      <c r="R24" s="276">
        <f>ROUND(VLOOKUP(MID($E24,4,3),'[1]Wochentag F(WT)'!$B$7:$J$22,R$9,0),4)</f>
        <v>0.98970000000000002</v>
      </c>
      <c r="S24" s="276">
        <f>ROUND(VLOOKUP(MID($E24,4,3),'[1]Wochentag F(WT)'!$B$7:$J$22,S$9,0),4)</f>
        <v>0.9627</v>
      </c>
      <c r="T24" s="276">
        <f>ROUND(VLOOKUP(MID($E24,4,3),'[1]Wochentag F(WT)'!$B$7:$J$22,T$9,0),4)</f>
        <v>1.0507</v>
      </c>
      <c r="U24" s="276">
        <f>ROUND(VLOOKUP(MID($E24,4,3),'[1]Wochentag F(WT)'!$B$7:$J$22,U$9,0),4)</f>
        <v>1.0551999999999999</v>
      </c>
      <c r="V24" s="276">
        <f>ROUND(VLOOKUP(MID($E24,4,3),'[1]Wochentag F(WT)'!$B$7:$J$22,V$9,0),4)</f>
        <v>1.0297000000000001</v>
      </c>
      <c r="W24" s="276">
        <f>ROUND(VLOOKUP(MID($E24,4,3),'[1]Wochentag F(WT)'!$B$7:$J$22,W$9,0),4)</f>
        <v>0.97670000000000001</v>
      </c>
      <c r="X24" s="277">
        <f t="shared" si="2"/>
        <v>0.9352999999999998</v>
      </c>
      <c r="Y24" s="297"/>
      <c r="Z24" s="211"/>
    </row>
    <row r="25" spans="2:26" s="142" customFormat="1">
      <c r="B25" s="143">
        <v>14</v>
      </c>
      <c r="C25" s="144" t="str">
        <f t="shared" si="0"/>
        <v>Frankfurt (Oder)</v>
      </c>
      <c r="D25" s="61" t="s">
        <v>248</v>
      </c>
      <c r="E25" s="164" t="s">
        <v>678</v>
      </c>
      <c r="F25" s="301" t="str">
        <f>VLOOKUP($E25,'[1]BDEW-Standard'!$B$3:$M$158,F$9,0)</f>
        <v>FM4</v>
      </c>
      <c r="H25" s="275">
        <f>ROUND(VLOOKUP($E25,'[1]BDEW-Standard'!$B$3:$M$158,H$9,0),7)</f>
        <v>1.0443538000000001</v>
      </c>
      <c r="I25" s="275">
        <f>ROUND(VLOOKUP($E25,'[1]BDEW-Standard'!$B$3:$M$158,I$9,0),7)</f>
        <v>-35.033375399999997</v>
      </c>
      <c r="J25" s="275">
        <f>ROUND(VLOOKUP($E25,'[1]BDEW-Standard'!$B$3:$M$158,J$9,0),7)</f>
        <v>6.2240634000000004</v>
      </c>
      <c r="K25" s="275">
        <f>ROUND(VLOOKUP($E25,'[1]BDEW-Standard'!$B$3:$M$158,K$9,0),7)</f>
        <v>5.0291700000000002E-2</v>
      </c>
      <c r="L25" s="374">
        <f>ROUND(VLOOKUP($E25,'[1]BDEW-Standard'!$B$3:$M$158,L$9,0),1)</f>
        <v>40</v>
      </c>
      <c r="M25" s="275">
        <f>ROUND(VLOOKUP($E25,'[1]BDEW-Standard'!$B$3:$M$158,M$9,0),7)</f>
        <v>-5.3582999999999999E-2</v>
      </c>
      <c r="N25" s="275">
        <f>ROUND(VLOOKUP($E25,'[1]BDEW-Standard'!$B$3:$M$158,N$9,0),7)</f>
        <v>0.99959010000000004</v>
      </c>
      <c r="O25" s="275">
        <f>ROUND(VLOOKUP($E25,'[1]BDEW-Standard'!$B$3:$M$158,O$9,0),7)</f>
        <v>-2.1757999999999999E-3</v>
      </c>
      <c r="P25" s="275">
        <f>ROUND(VLOOKUP($E25,'[1]BDEW-Standard'!$B$3:$M$158,P$9,0),7)</f>
        <v>0.1633299</v>
      </c>
      <c r="Q25" s="375">
        <f t="shared" si="1"/>
        <v>1.0000001838008261</v>
      </c>
      <c r="R25" s="276">
        <f>ROUND(VLOOKUP(MID($E25,4,3),'[1]Wochentag F(WT)'!$B$7:$J$22,R$9,0),4)</f>
        <v>1.0354000000000001</v>
      </c>
      <c r="S25" s="276">
        <f>ROUND(VLOOKUP(MID($E25,4,3),'[1]Wochentag F(WT)'!$B$7:$J$22,S$9,0),4)</f>
        <v>1.0523</v>
      </c>
      <c r="T25" s="276">
        <f>ROUND(VLOOKUP(MID($E25,4,3),'[1]Wochentag F(WT)'!$B$7:$J$22,T$9,0),4)</f>
        <v>1.0448999999999999</v>
      </c>
      <c r="U25" s="276">
        <f>ROUND(VLOOKUP(MID($E25,4,3),'[1]Wochentag F(WT)'!$B$7:$J$22,U$9,0),4)</f>
        <v>1.0494000000000001</v>
      </c>
      <c r="V25" s="276">
        <f>ROUND(VLOOKUP(MID($E25,4,3),'[1]Wochentag F(WT)'!$B$7:$J$22,V$9,0),4)</f>
        <v>0.98850000000000005</v>
      </c>
      <c r="W25" s="276">
        <f>ROUND(VLOOKUP(MID($E25,4,3),'[1]Wochentag F(WT)'!$B$7:$J$22,W$9,0),4)</f>
        <v>0.88600000000000001</v>
      </c>
      <c r="X25" s="277">
        <f t="shared" si="2"/>
        <v>0.94349999999999934</v>
      </c>
      <c r="Y25" s="297"/>
      <c r="Z25" s="211"/>
    </row>
    <row r="26" spans="2:26" s="142" customFormat="1">
      <c r="B26" s="143">
        <v>15</v>
      </c>
      <c r="C26" s="144" t="str">
        <f t="shared" si="0"/>
        <v>Frankfurt (Oder)</v>
      </c>
      <c r="D26" s="61"/>
      <c r="E26" s="164"/>
      <c r="F26" s="301"/>
      <c r="H26" s="275"/>
      <c r="I26" s="275"/>
      <c r="J26" s="275"/>
      <c r="K26" s="275"/>
      <c r="L26" s="374"/>
      <c r="M26" s="275"/>
      <c r="N26" s="275"/>
      <c r="O26" s="275"/>
      <c r="P26" s="275"/>
      <c r="Q26" s="375"/>
      <c r="R26" s="276"/>
      <c r="S26" s="276"/>
      <c r="T26" s="276"/>
      <c r="U26" s="276"/>
      <c r="V26" s="276"/>
      <c r="W26" s="276"/>
      <c r="X26" s="277"/>
      <c r="Y26" s="297"/>
      <c r="Z26" s="211"/>
    </row>
    <row r="27" spans="2:26" s="142" customFormat="1">
      <c r="B27" s="143">
        <v>16</v>
      </c>
      <c r="C27" s="144" t="str">
        <f t="shared" si="0"/>
        <v>Frankfurt (Oder)</v>
      </c>
      <c r="D27" s="61"/>
      <c r="E27" s="165"/>
      <c r="F27" s="301"/>
      <c r="H27" s="278"/>
      <c r="I27" s="278"/>
      <c r="J27" s="278"/>
      <c r="K27" s="278"/>
      <c r="L27" s="374"/>
      <c r="M27" s="278"/>
      <c r="N27" s="278"/>
      <c r="O27" s="278"/>
      <c r="P27" s="278"/>
      <c r="Q27" s="376"/>
      <c r="R27" s="279"/>
      <c r="S27" s="279"/>
      <c r="T27" s="279"/>
      <c r="U27" s="279"/>
      <c r="V27" s="279"/>
      <c r="W27" s="279"/>
      <c r="X27" s="280"/>
      <c r="Y27" s="297"/>
    </row>
    <row r="28" spans="2:26" s="142" customFormat="1">
      <c r="B28" s="143">
        <v>17</v>
      </c>
      <c r="C28" s="144" t="str">
        <f t="shared" si="0"/>
        <v>Frankfurt (Oder)</v>
      </c>
      <c r="D28" s="61"/>
      <c r="E28" s="165"/>
      <c r="F28" s="301"/>
      <c r="H28" s="278"/>
      <c r="I28" s="278"/>
      <c r="J28" s="278"/>
      <c r="K28" s="278"/>
      <c r="L28" s="374"/>
      <c r="M28" s="278"/>
      <c r="N28" s="278"/>
      <c r="O28" s="278"/>
      <c r="P28" s="278"/>
      <c r="Q28" s="376"/>
      <c r="R28" s="279"/>
      <c r="S28" s="279"/>
      <c r="T28" s="279"/>
      <c r="U28" s="279"/>
      <c r="V28" s="279"/>
      <c r="W28" s="279"/>
      <c r="X28" s="280"/>
      <c r="Y28" s="297"/>
    </row>
    <row r="29" spans="2:26" s="142" customFormat="1">
      <c r="B29" s="143">
        <v>18</v>
      </c>
      <c r="C29" s="144" t="str">
        <f t="shared" si="0"/>
        <v>Frankfurt (Oder)</v>
      </c>
      <c r="D29" s="61"/>
      <c r="E29" s="165"/>
      <c r="F29" s="301"/>
      <c r="H29" s="278"/>
      <c r="I29" s="278"/>
      <c r="J29" s="278"/>
      <c r="K29" s="278"/>
      <c r="L29" s="374"/>
      <c r="M29" s="278"/>
      <c r="N29" s="278"/>
      <c r="O29" s="278"/>
      <c r="P29" s="278"/>
      <c r="Q29" s="376"/>
      <c r="R29" s="279"/>
      <c r="S29" s="279"/>
      <c r="T29" s="279"/>
      <c r="U29" s="279"/>
      <c r="V29" s="279"/>
      <c r="W29" s="279"/>
      <c r="X29" s="280"/>
      <c r="Y29" s="297"/>
    </row>
    <row r="30" spans="2:26" s="142" customFormat="1">
      <c r="B30" s="143">
        <v>19</v>
      </c>
      <c r="C30" s="144" t="str">
        <f t="shared" si="0"/>
        <v>Frankfurt (Oder)</v>
      </c>
      <c r="D30" s="61"/>
      <c r="E30" s="165"/>
      <c r="F30" s="301"/>
      <c r="H30" s="278"/>
      <c r="I30" s="278"/>
      <c r="J30" s="278"/>
      <c r="K30" s="278"/>
      <c r="L30" s="374"/>
      <c r="M30" s="278"/>
      <c r="N30" s="278"/>
      <c r="O30" s="278"/>
      <c r="P30" s="278"/>
      <c r="Q30" s="376"/>
      <c r="R30" s="279"/>
      <c r="S30" s="279"/>
      <c r="T30" s="279"/>
      <c r="U30" s="279"/>
      <c r="V30" s="279"/>
      <c r="W30" s="279"/>
      <c r="X30" s="280"/>
      <c r="Y30" s="297"/>
    </row>
    <row r="31" spans="2:26" s="142" customFormat="1">
      <c r="B31" s="143">
        <v>20</v>
      </c>
      <c r="C31" s="144" t="str">
        <f t="shared" si="0"/>
        <v>Frankfurt (Oder)</v>
      </c>
      <c r="D31" s="61"/>
      <c r="E31" s="165"/>
      <c r="F31" s="301"/>
      <c r="H31" s="278"/>
      <c r="I31" s="278"/>
      <c r="J31" s="278"/>
      <c r="K31" s="278"/>
      <c r="L31" s="374"/>
      <c r="M31" s="278"/>
      <c r="N31" s="278"/>
      <c r="O31" s="278"/>
      <c r="P31" s="278"/>
      <c r="Q31" s="376"/>
      <c r="R31" s="279"/>
      <c r="S31" s="279"/>
      <c r="T31" s="279"/>
      <c r="U31" s="279"/>
      <c r="V31" s="279"/>
      <c r="W31" s="279"/>
      <c r="X31" s="280"/>
      <c r="Y31" s="297"/>
    </row>
    <row r="32" spans="2:26" s="142" customFormat="1">
      <c r="B32" s="143">
        <v>21</v>
      </c>
      <c r="C32" s="144" t="str">
        <f t="shared" si="0"/>
        <v>Frankfurt (Oder)</v>
      </c>
      <c r="D32" s="61"/>
      <c r="E32" s="165"/>
      <c r="F32" s="301"/>
      <c r="H32" s="278"/>
      <c r="I32" s="278"/>
      <c r="J32" s="278"/>
      <c r="K32" s="278"/>
      <c r="L32" s="374"/>
      <c r="M32" s="278"/>
      <c r="N32" s="278"/>
      <c r="O32" s="278"/>
      <c r="P32" s="278"/>
      <c r="Q32" s="376"/>
      <c r="R32" s="279"/>
      <c r="S32" s="279"/>
      <c r="T32" s="279"/>
      <c r="U32" s="279"/>
      <c r="V32" s="279"/>
      <c r="W32" s="279"/>
      <c r="X32" s="280"/>
      <c r="Y32" s="297"/>
    </row>
    <row r="33" spans="2:25" s="142" customFormat="1">
      <c r="B33" s="143">
        <v>22</v>
      </c>
      <c r="C33" s="144" t="str">
        <f t="shared" si="0"/>
        <v>Frankfurt (Oder)</v>
      </c>
      <c r="D33" s="61"/>
      <c r="E33" s="165"/>
      <c r="F33" s="301"/>
      <c r="H33" s="278"/>
      <c r="I33" s="278"/>
      <c r="J33" s="278"/>
      <c r="K33" s="278"/>
      <c r="L33" s="374"/>
      <c r="M33" s="278"/>
      <c r="N33" s="278"/>
      <c r="O33" s="278"/>
      <c r="P33" s="278"/>
      <c r="Q33" s="376"/>
      <c r="R33" s="279"/>
      <c r="S33" s="279"/>
      <c r="T33" s="279"/>
      <c r="U33" s="279"/>
      <c r="V33" s="279"/>
      <c r="W33" s="279"/>
      <c r="X33" s="280"/>
      <c r="Y33" s="297"/>
    </row>
    <row r="34" spans="2:25" s="142" customFormat="1">
      <c r="B34" s="143">
        <v>23</v>
      </c>
      <c r="C34" s="144" t="str">
        <f t="shared" si="0"/>
        <v>Frankfurt (Oder)</v>
      </c>
      <c r="D34" s="61"/>
      <c r="E34" s="165"/>
      <c r="F34" s="301"/>
      <c r="H34" s="278"/>
      <c r="I34" s="278"/>
      <c r="J34" s="278"/>
      <c r="K34" s="278"/>
      <c r="L34" s="374"/>
      <c r="M34" s="278"/>
      <c r="N34" s="278"/>
      <c r="O34" s="278"/>
      <c r="P34" s="278"/>
      <c r="Q34" s="376"/>
      <c r="R34" s="279"/>
      <c r="S34" s="279"/>
      <c r="T34" s="279"/>
      <c r="U34" s="279"/>
      <c r="V34" s="279"/>
      <c r="W34" s="279"/>
      <c r="X34" s="280"/>
      <c r="Y34" s="297"/>
    </row>
    <row r="35" spans="2:25" s="142" customFormat="1">
      <c r="B35" s="143">
        <v>24</v>
      </c>
      <c r="C35" s="144" t="str">
        <f t="shared" si="0"/>
        <v>Frankfurt (Oder)</v>
      </c>
      <c r="D35" s="61"/>
      <c r="E35" s="165"/>
      <c r="F35" s="301"/>
      <c r="H35" s="278"/>
      <c r="I35" s="278"/>
      <c r="J35" s="278"/>
      <c r="K35" s="278"/>
      <c r="L35" s="374"/>
      <c r="M35" s="278"/>
      <c r="N35" s="278"/>
      <c r="O35" s="278"/>
      <c r="P35" s="278"/>
      <c r="Q35" s="376"/>
      <c r="R35" s="279"/>
      <c r="S35" s="279"/>
      <c r="T35" s="279"/>
      <c r="U35" s="279"/>
      <c r="V35" s="279"/>
      <c r="W35" s="279"/>
      <c r="X35" s="280"/>
      <c r="Y35" s="297"/>
    </row>
    <row r="36" spans="2:25" s="142" customFormat="1">
      <c r="B36" s="143">
        <v>25</v>
      </c>
      <c r="C36" s="144" t="str">
        <f t="shared" si="0"/>
        <v>Frankfurt (Oder)</v>
      </c>
      <c r="D36" s="61"/>
      <c r="E36" s="165"/>
      <c r="F36" s="301"/>
      <c r="H36" s="278"/>
      <c r="I36" s="278"/>
      <c r="J36" s="278"/>
      <c r="K36" s="278"/>
      <c r="L36" s="374"/>
      <c r="M36" s="278"/>
      <c r="N36" s="278"/>
      <c r="O36" s="278"/>
      <c r="P36" s="278"/>
      <c r="Q36" s="376"/>
      <c r="R36" s="279"/>
      <c r="S36" s="279"/>
      <c r="T36" s="279"/>
      <c r="U36" s="279"/>
      <c r="V36" s="279"/>
      <c r="W36" s="279"/>
      <c r="X36" s="280"/>
      <c r="Y36" s="297"/>
    </row>
    <row r="37" spans="2:25" s="142" customFormat="1">
      <c r="B37" s="143">
        <v>26</v>
      </c>
      <c r="C37" s="144" t="str">
        <f t="shared" si="0"/>
        <v>Frankfurt (Oder)</v>
      </c>
      <c r="D37" s="61"/>
      <c r="E37" s="165"/>
      <c r="F37" s="301"/>
      <c r="H37" s="278"/>
      <c r="I37" s="278"/>
      <c r="J37" s="278"/>
      <c r="K37" s="278"/>
      <c r="L37" s="374"/>
      <c r="M37" s="278"/>
      <c r="N37" s="278"/>
      <c r="O37" s="278"/>
      <c r="P37" s="278"/>
      <c r="Q37" s="376"/>
      <c r="R37" s="279"/>
      <c r="S37" s="279"/>
      <c r="T37" s="279"/>
      <c r="U37" s="279"/>
      <c r="V37" s="279"/>
      <c r="W37" s="279"/>
      <c r="X37" s="280"/>
      <c r="Y37" s="297"/>
    </row>
    <row r="38" spans="2:25" s="142" customFormat="1">
      <c r="B38" s="143">
        <v>27</v>
      </c>
      <c r="C38" s="144" t="str">
        <f t="shared" si="0"/>
        <v>Frankfurt (Oder)</v>
      </c>
      <c r="D38" s="61"/>
      <c r="E38" s="165"/>
      <c r="F38" s="301"/>
      <c r="H38" s="278"/>
      <c r="I38" s="278"/>
      <c r="J38" s="278"/>
      <c r="K38" s="278"/>
      <c r="L38" s="374"/>
      <c r="M38" s="278"/>
      <c r="N38" s="278"/>
      <c r="O38" s="278"/>
      <c r="P38" s="278"/>
      <c r="Q38" s="376"/>
      <c r="R38" s="279"/>
      <c r="S38" s="279"/>
      <c r="T38" s="279"/>
      <c r="U38" s="279"/>
      <c r="V38" s="279"/>
      <c r="W38" s="279"/>
      <c r="X38" s="280"/>
      <c r="Y38" s="297"/>
    </row>
    <row r="39" spans="2:25" s="142" customFormat="1">
      <c r="B39" s="143">
        <v>28</v>
      </c>
      <c r="C39" s="144" t="str">
        <f t="shared" si="0"/>
        <v>Frankfurt (Oder)</v>
      </c>
      <c r="D39" s="61"/>
      <c r="E39" s="165"/>
      <c r="F39" s="301"/>
      <c r="H39" s="278"/>
      <c r="I39" s="278"/>
      <c r="J39" s="278"/>
      <c r="K39" s="278"/>
      <c r="L39" s="374"/>
      <c r="M39" s="278"/>
      <c r="N39" s="278"/>
      <c r="O39" s="278"/>
      <c r="P39" s="278"/>
      <c r="Q39" s="376"/>
      <c r="R39" s="279"/>
      <c r="S39" s="279"/>
      <c r="T39" s="279"/>
      <c r="U39" s="279"/>
      <c r="V39" s="279"/>
      <c r="W39" s="279"/>
      <c r="X39" s="280"/>
      <c r="Y39" s="297"/>
    </row>
    <row r="40" spans="2:25" s="142" customFormat="1">
      <c r="B40" s="143">
        <v>29</v>
      </c>
      <c r="C40" s="144" t="str">
        <f t="shared" si="0"/>
        <v>Frankfurt (Oder)</v>
      </c>
      <c r="D40" s="61"/>
      <c r="E40" s="165"/>
      <c r="F40" s="301"/>
      <c r="H40" s="278"/>
      <c r="I40" s="278"/>
      <c r="J40" s="278"/>
      <c r="K40" s="278"/>
      <c r="L40" s="374"/>
      <c r="M40" s="278"/>
      <c r="N40" s="278"/>
      <c r="O40" s="278"/>
      <c r="P40" s="278"/>
      <c r="Q40" s="376"/>
      <c r="R40" s="279"/>
      <c r="S40" s="279"/>
      <c r="T40" s="279"/>
      <c r="U40" s="279"/>
      <c r="V40" s="279"/>
      <c r="W40" s="279"/>
      <c r="X40" s="280"/>
      <c r="Y40" s="297"/>
    </row>
    <row r="41" spans="2:25" s="142" customFormat="1">
      <c r="B41" s="143">
        <v>30</v>
      </c>
      <c r="C41" s="144" t="str">
        <f t="shared" si="0"/>
        <v>Frankfurt (Oder)</v>
      </c>
      <c r="D41" s="61"/>
      <c r="E41" s="165"/>
      <c r="F41" s="301"/>
      <c r="H41" s="278"/>
      <c r="I41" s="278"/>
      <c r="J41" s="278"/>
      <c r="K41" s="278"/>
      <c r="L41" s="374"/>
      <c r="M41" s="278"/>
      <c r="N41" s="278"/>
      <c r="O41" s="278"/>
      <c r="P41" s="278"/>
      <c r="Q41" s="376"/>
      <c r="R41" s="279"/>
      <c r="S41" s="279"/>
      <c r="T41" s="279"/>
      <c r="U41" s="279"/>
      <c r="V41" s="279"/>
      <c r="W41" s="279"/>
      <c r="X41" s="280"/>
      <c r="Y41" s="29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Y11:Y41">
    <cfRule type="expression" dxfId="15" priority="14">
      <formula>ISERROR(Y11)</formula>
    </cfRule>
  </conditionalFormatting>
  <conditionalFormatting sqref="Y12:Y41">
    <cfRule type="duplicateValues" dxfId="14" priority="36"/>
  </conditionalFormatting>
  <conditionalFormatting sqref="F11:F41 H11:K41 M11:P41 R11:X41">
    <cfRule type="expression" dxfId="4" priority="3">
      <formula>ISERROR(F11)</formula>
    </cfRule>
  </conditionalFormatting>
  <conditionalFormatting sqref="E12:F41">
    <cfRule type="duplicateValues" dxfId="3" priority="5"/>
  </conditionalFormatting>
  <conditionalFormatting sqref="L11:L41">
    <cfRule type="expression" dxfId="2" priority="2">
      <formula>ISERROR(L11)</formula>
    </cfRule>
  </conditionalFormatting>
  <conditionalFormatting sqref="Q11:Q41">
    <cfRule type="expression" dxfId="1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D6D2B281-3BF4-41DF-A249-36ACBE58326B}">
      <formula1>"BDEW,Ind.-Koef."</formula1>
    </dataValidation>
    <dataValidation errorStyle="warning" allowBlank="1" showInputMessage="1" showErrorMessage="1" errorTitle="Profil-Art" error="Bitte Profilwahl gemäß Auswahlfeld" sqref="D11" xr:uid="{8E7E2E9C-16A6-46DF-A207-01701F55815A}"/>
  </dataValidations>
  <pageMargins left="0.25" right="0.25" top="0.75" bottom="0.75" header="0.3" footer="0.3"/>
  <pageSetup paperSize="9" scale="4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6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" id="{5321FA6A-D115-4CE0-A9C5-865845364A2A}">
            <xm:f>D11&lt;&gt;IF(ISERROR(VLOOKUP($E11,'\N\alle_N\Netze Gas\SLP-Profile\[20200129_ng_ffo_slp_gas_verfahrensspezifische_parameter_netzbetreiber_2020.xlsx]BDEW-Standard'!#REF!,1,0)),"Ind.-Koef.","BDEW")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Achtung!" error="keine BDEW Nomenklatur" xr:uid="{4DAC1607-1E9A-47E0-89F8-C2FD3EDF5164}">
          <x14:formula1>
            <xm:f>'Q:\N\alle_N\Netze Gas\SLP-Profile\[20200129_ng_ffo_slp_gas_verfahrensspezifische_parameter_netzbetreiber_2020.xlsx]BDEW-Standard'!#REF!</xm:f>
          </x14:formula1>
          <xm:sqref>E12:E26</xm:sqref>
        </x14:dataValidation>
        <x14:dataValidation type="list" errorStyle="information" allowBlank="1" showInputMessage="1" showErrorMessage="1" errorTitle="Achtung!" error="keine BDEW Nomenklatur" xr:uid="{FD0EE5FC-DB8C-4DF9-B43B-68A1827F82B9}">
          <x14:formula1>
            <xm:f>'Q:\N\alle_N\Netze Gas\SLP-Profile\[20200129_ng_ffo_slp_gas_verfahrensspezifische_parameter_netzbetreiber_2020.xlsx]BDEW-Standard'!#REF!</xm:f>
          </x14:formula1>
          <xm:sqref>E11 E27:E41</xm:sqref>
        </x14:dataValidation>
        <x14:dataValidation type="list" allowBlank="1" showInputMessage="1" showErrorMessage="1" xr:uid="{01C800C4-905A-451C-AA45-CC430604E8AE}">
          <x14:formula1>
            <xm:f>'Q:\N\alle_N\Netze Gas\SLP-Profile\[20200129_ng_ffo_slp_gas_verfahrensspezifische_parameter_netzbetreiber_2020.xlsx]BDEW-Standard'!#REF!</xm:f>
          </x14:formula1>
          <xm:sqref>E11:E26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2" t="s">
        <v>344</v>
      </c>
      <c r="B1" s="213">
        <v>42173</v>
      </c>
      <c r="D1" s="130" t="s">
        <v>451</v>
      </c>
      <c r="F1" s="214" t="s">
        <v>545</v>
      </c>
      <c r="N1" s="215"/>
    </row>
    <row r="2" spans="1:14" ht="26.4">
      <c r="A2" s="216" t="s">
        <v>268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11">
        <v>3.0469694600000001</v>
      </c>
      <c r="F3" s="312">
        <v>-37.183314129999999</v>
      </c>
      <c r="G3" s="311">
        <v>5.6727846619999998</v>
      </c>
      <c r="H3" s="311">
        <v>9.6193059999999997E-2</v>
      </c>
      <c r="I3" s="313">
        <v>40</v>
      </c>
      <c r="J3" s="314">
        <v>0</v>
      </c>
      <c r="K3" s="314">
        <v>0</v>
      </c>
      <c r="L3" s="314">
        <v>0</v>
      </c>
      <c r="M3" s="315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11">
        <v>3.1850191300000001</v>
      </c>
      <c r="F4" s="311">
        <v>-37.412415490000001</v>
      </c>
      <c r="G4" s="311">
        <v>6.1723178729999999</v>
      </c>
      <c r="H4" s="311">
        <v>7.6109594000000003E-2</v>
      </c>
      <c r="I4" s="313">
        <v>40</v>
      </c>
      <c r="J4" s="314">
        <v>0</v>
      </c>
      <c r="K4" s="314">
        <v>0</v>
      </c>
      <c r="L4" s="314">
        <v>0</v>
      </c>
      <c r="M4" s="315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8" t="str">
        <f t="shared" si="3"/>
        <v>D15</v>
      </c>
      <c r="D5" s="224" t="s">
        <v>155</v>
      </c>
      <c r="E5" s="311">
        <v>3.3456666720000001</v>
      </c>
      <c r="F5" s="311">
        <v>-37.52683159</v>
      </c>
      <c r="G5" s="311">
        <v>6.4328936829999996</v>
      </c>
      <c r="H5" s="311">
        <v>5.6256618000000001E-2</v>
      </c>
      <c r="I5" s="313">
        <v>40</v>
      </c>
      <c r="J5" s="314">
        <v>0</v>
      </c>
      <c r="K5" s="314">
        <v>0</v>
      </c>
      <c r="L5" s="314">
        <v>0</v>
      </c>
      <c r="M5" s="315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6">
        <v>1.6209544222121799</v>
      </c>
      <c r="F6" s="316">
        <v>-37.183314129999999</v>
      </c>
      <c r="G6" s="316">
        <v>5.6727846619999998</v>
      </c>
      <c r="H6" s="316">
        <v>7.16431179426293E-2</v>
      </c>
      <c r="I6" s="317">
        <v>40</v>
      </c>
      <c r="J6" s="318">
        <v>-4.9570015603147999E-2</v>
      </c>
      <c r="K6" s="318">
        <v>0.84010145808052905</v>
      </c>
      <c r="L6" s="318">
        <v>-2.20902646706885E-3</v>
      </c>
      <c r="M6" s="319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8" t="str">
        <f t="shared" si="3"/>
        <v>1D4</v>
      </c>
      <c r="D7" s="224" t="s">
        <v>157</v>
      </c>
      <c r="E7" s="320">
        <v>1.3819663042902499</v>
      </c>
      <c r="F7" s="320">
        <v>-37.412415490000001</v>
      </c>
      <c r="G7" s="320">
        <v>6.1723178729999999</v>
      </c>
      <c r="H7" s="320">
        <v>3.9628356395288999E-2</v>
      </c>
      <c r="I7" s="321">
        <v>40</v>
      </c>
      <c r="J7" s="322">
        <v>-6.7215872937749402E-2</v>
      </c>
      <c r="K7" s="322">
        <v>1.1167138385159201</v>
      </c>
      <c r="L7" s="322">
        <v>-1.9981647687711602E-3</v>
      </c>
      <c r="M7" s="323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8" t="str">
        <f t="shared" si="3"/>
        <v>D23</v>
      </c>
      <c r="D8" s="224" t="s">
        <v>158</v>
      </c>
      <c r="E8" s="311">
        <v>2.387761791</v>
      </c>
      <c r="F8" s="311">
        <v>-34.721360509999997</v>
      </c>
      <c r="G8" s="311">
        <v>5.8164304019999999</v>
      </c>
      <c r="H8" s="311">
        <v>0.120819368</v>
      </c>
      <c r="I8" s="313">
        <v>40</v>
      </c>
      <c r="J8" s="314">
        <v>0</v>
      </c>
      <c r="K8" s="314">
        <v>0</v>
      </c>
      <c r="L8" s="314">
        <v>0</v>
      </c>
      <c r="M8" s="315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8" t="str">
        <f t="shared" si="3"/>
        <v>D24</v>
      </c>
      <c r="D9" s="224" t="s">
        <v>159</v>
      </c>
      <c r="E9" s="311">
        <v>2.5187775189999999</v>
      </c>
      <c r="F9" s="311">
        <v>-35.033375419999999</v>
      </c>
      <c r="G9" s="311">
        <v>6.224063396</v>
      </c>
      <c r="H9" s="311">
        <v>0.10107817199999999</v>
      </c>
      <c r="I9" s="313">
        <v>40</v>
      </c>
      <c r="J9" s="314">
        <v>0</v>
      </c>
      <c r="K9" s="314">
        <v>0</v>
      </c>
      <c r="L9" s="314">
        <v>0</v>
      </c>
      <c r="M9" s="315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8" t="str">
        <f t="shared" si="3"/>
        <v>D25</v>
      </c>
      <c r="D10" s="224" t="s">
        <v>160</v>
      </c>
      <c r="E10" s="311">
        <v>2.656440592</v>
      </c>
      <c r="F10" s="311">
        <v>-35.251692669999997</v>
      </c>
      <c r="G10" s="311">
        <v>6.5182658619999998</v>
      </c>
      <c r="H10" s="311">
        <v>8.1205866000000002E-2</v>
      </c>
      <c r="I10" s="313">
        <v>40</v>
      </c>
      <c r="J10" s="314">
        <v>0</v>
      </c>
      <c r="K10" s="314">
        <v>0</v>
      </c>
      <c r="L10" s="314">
        <v>0</v>
      </c>
      <c r="M10" s="315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8" t="str">
        <f t="shared" si="3"/>
        <v>2D3</v>
      </c>
      <c r="D11" s="224" t="s">
        <v>161</v>
      </c>
      <c r="E11" s="316">
        <v>1.2328654654123199</v>
      </c>
      <c r="F11" s="316">
        <v>-34.721360509999997</v>
      </c>
      <c r="G11" s="316">
        <v>5.8164304019999999</v>
      </c>
      <c r="H11" s="316">
        <v>8.7335193020600194E-2</v>
      </c>
      <c r="I11" s="317">
        <v>40</v>
      </c>
      <c r="J11" s="318">
        <v>-4.0928399400390697E-2</v>
      </c>
      <c r="K11" s="318">
        <v>0.76729203945074098</v>
      </c>
      <c r="L11" s="318">
        <v>-2.23202741619469E-3</v>
      </c>
      <c r="M11" s="319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8" t="str">
        <f t="shared" si="3"/>
        <v>2D4</v>
      </c>
      <c r="D12" s="224" t="s">
        <v>162</v>
      </c>
      <c r="E12" s="320">
        <v>1.0443537680583199</v>
      </c>
      <c r="F12" s="320">
        <v>-35.033375419999999</v>
      </c>
      <c r="G12" s="320">
        <v>6.224063396</v>
      </c>
      <c r="H12" s="320">
        <v>5.0291716040989698E-2</v>
      </c>
      <c r="I12" s="321">
        <v>40</v>
      </c>
      <c r="J12" s="322">
        <v>-5.3583022235768898E-2</v>
      </c>
      <c r="K12" s="322">
        <v>0.99959009039973401</v>
      </c>
      <c r="L12" s="322">
        <v>-2.17584483209612E-3</v>
      </c>
      <c r="M12" s="323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8" t="str">
        <f t="shared" si="3"/>
        <v>HK3</v>
      </c>
      <c r="D13" s="224" t="s">
        <v>246</v>
      </c>
      <c r="E13" s="311">
        <v>0.40409319999999999</v>
      </c>
      <c r="F13" s="311">
        <v>-24.439296800000001</v>
      </c>
      <c r="G13" s="311">
        <v>6.5718174999999999</v>
      </c>
      <c r="H13" s="311">
        <v>0.71077100000000004</v>
      </c>
      <c r="I13" s="313">
        <v>40</v>
      </c>
      <c r="J13" s="314">
        <v>0</v>
      </c>
      <c r="K13" s="314">
        <v>0</v>
      </c>
      <c r="L13" s="314">
        <v>0</v>
      </c>
      <c r="M13" s="315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8" t="str">
        <f t="shared" si="3"/>
        <v>MK1</v>
      </c>
      <c r="D14" s="224" t="s">
        <v>163</v>
      </c>
      <c r="E14" s="311">
        <v>1.8644533640000001</v>
      </c>
      <c r="F14" s="311">
        <v>-30.707163250000001</v>
      </c>
      <c r="G14" s="311">
        <v>6.4626937309999999</v>
      </c>
      <c r="H14" s="311">
        <v>0.104833866</v>
      </c>
      <c r="I14" s="313">
        <v>40</v>
      </c>
      <c r="J14" s="314">
        <v>0</v>
      </c>
      <c r="K14" s="314">
        <v>0</v>
      </c>
      <c r="L14" s="314">
        <v>0</v>
      </c>
      <c r="M14" s="315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8" t="str">
        <f t="shared" si="3"/>
        <v>MK2</v>
      </c>
      <c r="D15" s="224" t="s">
        <v>164</v>
      </c>
      <c r="E15" s="311">
        <v>2.2908183860000002</v>
      </c>
      <c r="F15" s="311">
        <v>-33.147686729999997</v>
      </c>
      <c r="G15" s="311">
        <v>6.3714765040000003</v>
      </c>
      <c r="H15" s="311">
        <v>8.1002321000000002E-2</v>
      </c>
      <c r="I15" s="313">
        <v>40</v>
      </c>
      <c r="J15" s="314">
        <v>0</v>
      </c>
      <c r="K15" s="314">
        <v>0</v>
      </c>
      <c r="L15" s="314">
        <v>0</v>
      </c>
      <c r="M15" s="315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8" t="str">
        <f t="shared" si="3"/>
        <v>MK3</v>
      </c>
      <c r="D16" s="224" t="s">
        <v>165</v>
      </c>
      <c r="E16" s="311">
        <v>2.7882423940000001</v>
      </c>
      <c r="F16" s="311">
        <v>-34.880613019999998</v>
      </c>
      <c r="G16" s="311">
        <v>6.5951899220000003</v>
      </c>
      <c r="H16" s="311">
        <v>5.4032911000000003E-2</v>
      </c>
      <c r="I16" s="313">
        <v>40</v>
      </c>
      <c r="J16" s="314">
        <v>0</v>
      </c>
      <c r="K16" s="314">
        <v>0</v>
      </c>
      <c r="L16" s="314">
        <v>0</v>
      </c>
      <c r="M16" s="315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8" t="str">
        <f t="shared" si="3"/>
        <v>MK4</v>
      </c>
      <c r="D17" s="224" t="s">
        <v>166</v>
      </c>
      <c r="E17" s="311">
        <v>3.117724811</v>
      </c>
      <c r="F17" s="311">
        <v>-35.871506220000001</v>
      </c>
      <c r="G17" s="311">
        <v>7.5186828869999998</v>
      </c>
      <c r="H17" s="311">
        <v>3.4330092999999999E-2</v>
      </c>
      <c r="I17" s="313">
        <v>40</v>
      </c>
      <c r="J17" s="314">
        <v>0</v>
      </c>
      <c r="K17" s="314">
        <v>0</v>
      </c>
      <c r="L17" s="314">
        <v>0</v>
      </c>
      <c r="M17" s="315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8" t="str">
        <f t="shared" si="3"/>
        <v>MK5</v>
      </c>
      <c r="D18" s="224" t="s">
        <v>167</v>
      </c>
      <c r="E18" s="311">
        <v>3.5862355250000002</v>
      </c>
      <c r="F18" s="311">
        <v>-37.080299349999997</v>
      </c>
      <c r="G18" s="311">
        <v>8.2420571759999994</v>
      </c>
      <c r="H18" s="311">
        <v>1.4600757000000001E-2</v>
      </c>
      <c r="I18" s="313">
        <v>40</v>
      </c>
      <c r="J18" s="314">
        <v>0</v>
      </c>
      <c r="K18" s="314">
        <v>0</v>
      </c>
      <c r="L18" s="314">
        <v>0</v>
      </c>
      <c r="M18" s="315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8" t="str">
        <f t="shared" si="3"/>
        <v>KM3</v>
      </c>
      <c r="D19" s="224" t="s">
        <v>168</v>
      </c>
      <c r="E19" s="316">
        <v>1.42024191542431</v>
      </c>
      <c r="F19" s="316">
        <v>-34.880613019999998</v>
      </c>
      <c r="G19" s="316">
        <v>6.5951899220000003</v>
      </c>
      <c r="H19" s="316">
        <v>3.8531702714088997E-2</v>
      </c>
      <c r="I19" s="317">
        <v>40</v>
      </c>
      <c r="J19" s="318">
        <v>-5.2108424079363599E-2</v>
      </c>
      <c r="K19" s="318">
        <v>0.86479187369647303</v>
      </c>
      <c r="L19" s="318">
        <v>-1.43692105046127E-3</v>
      </c>
      <c r="M19" s="319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8" t="str">
        <f t="shared" si="3"/>
        <v>KM4</v>
      </c>
      <c r="D20" s="224" t="s">
        <v>169</v>
      </c>
      <c r="E20" s="320">
        <v>1.3284912834142599</v>
      </c>
      <c r="F20" s="320">
        <v>-35.871506220000001</v>
      </c>
      <c r="G20" s="320">
        <v>7.5186828869999998</v>
      </c>
      <c r="H20" s="320">
        <v>1.7554042928377402E-2</v>
      </c>
      <c r="I20" s="321">
        <v>40</v>
      </c>
      <c r="J20" s="322">
        <v>-7.5898278738419894E-2</v>
      </c>
      <c r="K20" s="322">
        <v>1.1942554985979099</v>
      </c>
      <c r="L20" s="322">
        <v>-8.9798095264275E-4</v>
      </c>
      <c r="M20" s="323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8" t="str">
        <f t="shared" si="3"/>
        <v>HA1</v>
      </c>
      <c r="D21" s="224" t="s">
        <v>170</v>
      </c>
      <c r="E21" s="311">
        <v>2.3742827709999998</v>
      </c>
      <c r="F21" s="311">
        <v>-34.759550140000002</v>
      </c>
      <c r="G21" s="311">
        <v>5.9987036829999996</v>
      </c>
      <c r="H21" s="311">
        <v>0.149441144</v>
      </c>
      <c r="I21" s="313">
        <v>40</v>
      </c>
      <c r="J21" s="314">
        <v>0</v>
      </c>
      <c r="K21" s="314">
        <v>0</v>
      </c>
      <c r="L21" s="314">
        <v>0</v>
      </c>
      <c r="M21" s="315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8" t="str">
        <f t="shared" si="3"/>
        <v>HA2</v>
      </c>
      <c r="D22" s="224" t="s">
        <v>171</v>
      </c>
      <c r="E22" s="311">
        <v>2.8544748530000001</v>
      </c>
      <c r="F22" s="311">
        <v>-35.629423080000002</v>
      </c>
      <c r="G22" s="311">
        <v>7.0058264430000001</v>
      </c>
      <c r="H22" s="311">
        <v>0.11647722100000001</v>
      </c>
      <c r="I22" s="313">
        <v>40</v>
      </c>
      <c r="J22" s="314">
        <v>0</v>
      </c>
      <c r="K22" s="314">
        <v>0</v>
      </c>
      <c r="L22" s="314">
        <v>0</v>
      </c>
      <c r="M22" s="315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8" t="str">
        <f t="shared" si="3"/>
        <v>HA3</v>
      </c>
      <c r="D23" s="224" t="s">
        <v>172</v>
      </c>
      <c r="E23" s="311">
        <v>3.58112137</v>
      </c>
      <c r="F23" s="311">
        <v>-36.965006520000003</v>
      </c>
      <c r="G23" s="311">
        <v>7.2256946710000003</v>
      </c>
      <c r="H23" s="311">
        <v>4.4841566999999999E-2</v>
      </c>
      <c r="I23" s="313">
        <v>40</v>
      </c>
      <c r="J23" s="314">
        <v>0</v>
      </c>
      <c r="K23" s="314">
        <v>0</v>
      </c>
      <c r="L23" s="314">
        <v>0</v>
      </c>
      <c r="M23" s="315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8" t="str">
        <f t="shared" si="3"/>
        <v>HA4</v>
      </c>
      <c r="D24" s="224" t="s">
        <v>173</v>
      </c>
      <c r="E24" s="311">
        <v>4.0196902039999998</v>
      </c>
      <c r="F24" s="311">
        <v>-37.82820366</v>
      </c>
      <c r="G24" s="311">
        <v>8.1593368759999994</v>
      </c>
      <c r="H24" s="311">
        <v>4.7284495000000003E-2</v>
      </c>
      <c r="I24" s="313">
        <v>40</v>
      </c>
      <c r="J24" s="314">
        <v>0</v>
      </c>
      <c r="K24" s="314">
        <v>0</v>
      </c>
      <c r="L24" s="314">
        <v>0</v>
      </c>
      <c r="M24" s="315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8" t="str">
        <f t="shared" si="3"/>
        <v>HA5</v>
      </c>
      <c r="D25" s="224" t="s">
        <v>174</v>
      </c>
      <c r="E25" s="311">
        <v>4.8252375660000002</v>
      </c>
      <c r="F25" s="311">
        <v>-39.280256399999999</v>
      </c>
      <c r="G25" s="311">
        <v>8.6240216889999992</v>
      </c>
      <c r="H25" s="311">
        <v>9.9944630000000003E-3</v>
      </c>
      <c r="I25" s="313">
        <v>40</v>
      </c>
      <c r="J25" s="314">
        <v>0</v>
      </c>
      <c r="K25" s="314">
        <v>0</v>
      </c>
      <c r="L25" s="314">
        <v>0</v>
      </c>
      <c r="M25" s="315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8" t="str">
        <f t="shared" si="3"/>
        <v>AH3</v>
      </c>
      <c r="D26" s="224" t="s">
        <v>175</v>
      </c>
      <c r="E26" s="316">
        <v>1.9724775375047101</v>
      </c>
      <c r="F26" s="316">
        <v>-36.965006520000003</v>
      </c>
      <c r="G26" s="316">
        <v>7.2256946710000003</v>
      </c>
      <c r="H26" s="316">
        <v>3.45781570412447E-2</v>
      </c>
      <c r="I26" s="317">
        <v>40</v>
      </c>
      <c r="J26" s="318">
        <v>-7.42174022298938E-2</v>
      </c>
      <c r="K26" s="318">
        <v>1.04488686764057</v>
      </c>
      <c r="L26" s="318">
        <v>-8.2954472023944598E-4</v>
      </c>
      <c r="M26" s="319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8" t="str">
        <f t="shared" si="3"/>
        <v>AH4</v>
      </c>
      <c r="D27" s="224" t="s">
        <v>176</v>
      </c>
      <c r="E27" s="320">
        <v>1.8398455179509201</v>
      </c>
      <c r="F27" s="320">
        <v>-37.82820366</v>
      </c>
      <c r="G27" s="320">
        <v>8.1593368759999994</v>
      </c>
      <c r="H27" s="320">
        <v>2.5971006255482799E-2</v>
      </c>
      <c r="I27" s="321">
        <v>40</v>
      </c>
      <c r="J27" s="322">
        <v>-0.10692617459680499</v>
      </c>
      <c r="K27" s="322">
        <v>1.45522403984838</v>
      </c>
      <c r="L27" s="322">
        <v>-4.9197263527907199E-4</v>
      </c>
      <c r="M27" s="323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8" t="str">
        <f t="shared" si="3"/>
        <v>KO1</v>
      </c>
      <c r="D28" s="224" t="s">
        <v>177</v>
      </c>
      <c r="E28" s="311">
        <v>1.415957087</v>
      </c>
      <c r="F28" s="311">
        <v>-30.842519159999998</v>
      </c>
      <c r="G28" s="311">
        <v>6.3467557010000002</v>
      </c>
      <c r="H28" s="311">
        <v>0.32117906499999999</v>
      </c>
      <c r="I28" s="313">
        <v>40</v>
      </c>
      <c r="J28" s="314">
        <v>0</v>
      </c>
      <c r="K28" s="314">
        <v>0</v>
      </c>
      <c r="L28" s="314">
        <v>0</v>
      </c>
      <c r="M28" s="315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8" t="str">
        <f t="shared" si="3"/>
        <v>KO2</v>
      </c>
      <c r="D29" s="224" t="s">
        <v>178</v>
      </c>
      <c r="E29" s="311">
        <v>2.0660500700000002</v>
      </c>
      <c r="F29" s="311">
        <v>-33.601652029999997</v>
      </c>
      <c r="G29" s="311">
        <v>6.675360994</v>
      </c>
      <c r="H29" s="311">
        <v>0.23091246800000001</v>
      </c>
      <c r="I29" s="313">
        <v>40</v>
      </c>
      <c r="J29" s="314">
        <v>0</v>
      </c>
      <c r="K29" s="314">
        <v>0</v>
      </c>
      <c r="L29" s="314">
        <v>0</v>
      </c>
      <c r="M29" s="315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8" t="str">
        <f t="shared" si="3"/>
        <v>KO3</v>
      </c>
      <c r="D30" s="224" t="s">
        <v>179</v>
      </c>
      <c r="E30" s="311">
        <v>2.7172288440000001</v>
      </c>
      <c r="F30" s="311">
        <v>-35.141256310000003</v>
      </c>
      <c r="G30" s="311">
        <v>7.1303395089999997</v>
      </c>
      <c r="H30" s="311">
        <v>0.14184716999999999</v>
      </c>
      <c r="I30" s="313">
        <v>40</v>
      </c>
      <c r="J30" s="314">
        <v>0</v>
      </c>
      <c r="K30" s="314">
        <v>0</v>
      </c>
      <c r="L30" s="314">
        <v>0</v>
      </c>
      <c r="M30" s="315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8" t="str">
        <f t="shared" si="3"/>
        <v>KO4</v>
      </c>
      <c r="D31" s="224" t="s">
        <v>180</v>
      </c>
      <c r="E31" s="311">
        <v>3.4428942870000001</v>
      </c>
      <c r="F31" s="311">
        <v>-36.659050409999999</v>
      </c>
      <c r="G31" s="311">
        <v>7.6083226159999997</v>
      </c>
      <c r="H31" s="311">
        <v>7.4685009999999996E-2</v>
      </c>
      <c r="I31" s="313">
        <v>40</v>
      </c>
      <c r="J31" s="314">
        <v>0</v>
      </c>
      <c r="K31" s="314">
        <v>0</v>
      </c>
      <c r="L31" s="314">
        <v>0</v>
      </c>
      <c r="M31" s="315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8" t="str">
        <f t="shared" si="3"/>
        <v>KO5</v>
      </c>
      <c r="D32" s="224" t="s">
        <v>181</v>
      </c>
      <c r="E32" s="311">
        <v>4.3624833000000001</v>
      </c>
      <c r="F32" s="311">
        <v>-38.663402159999997</v>
      </c>
      <c r="G32" s="311">
        <v>7.5974644280000003</v>
      </c>
      <c r="H32" s="311">
        <v>8.3264180000000004E-3</v>
      </c>
      <c r="I32" s="313">
        <v>40</v>
      </c>
      <c r="J32" s="314">
        <v>0</v>
      </c>
      <c r="K32" s="314">
        <v>0</v>
      </c>
      <c r="L32" s="314">
        <v>0</v>
      </c>
      <c r="M32" s="315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8" t="str">
        <f t="shared" si="3"/>
        <v>OK3</v>
      </c>
      <c r="D33" s="224" t="s">
        <v>182</v>
      </c>
      <c r="E33" s="316">
        <v>1.3554515228930799</v>
      </c>
      <c r="F33" s="316">
        <v>-35.141256310000003</v>
      </c>
      <c r="G33" s="316">
        <v>7.1303395089999997</v>
      </c>
      <c r="H33" s="316">
        <v>9.9061861582536506E-2</v>
      </c>
      <c r="I33" s="317">
        <v>40</v>
      </c>
      <c r="J33" s="318">
        <v>-5.2648691429529201E-2</v>
      </c>
      <c r="K33" s="318">
        <v>0.86260857514223399</v>
      </c>
      <c r="L33" s="318">
        <v>-8.8083895602660196E-4</v>
      </c>
      <c r="M33" s="319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8" t="str">
        <f t="shared" si="3"/>
        <v>OK4</v>
      </c>
      <c r="D34" s="224" t="s">
        <v>183</v>
      </c>
      <c r="E34" s="320">
        <v>1.4256683872017999</v>
      </c>
      <c r="F34" s="320">
        <v>-36.659050409999999</v>
      </c>
      <c r="G34" s="320">
        <v>7.6083226159999997</v>
      </c>
      <c r="H34" s="320">
        <v>3.7111586547478703E-2</v>
      </c>
      <c r="I34" s="321">
        <v>40</v>
      </c>
      <c r="J34" s="322">
        <v>-8.0935893022415106E-2</v>
      </c>
      <c r="K34" s="322">
        <v>1.2364527018259801</v>
      </c>
      <c r="L34" s="322">
        <v>-7.6279966642852303E-4</v>
      </c>
      <c r="M34" s="323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8" t="str">
        <f t="shared" si="3"/>
        <v>BD1</v>
      </c>
      <c r="D35" s="224" t="s">
        <v>184</v>
      </c>
      <c r="E35" s="311">
        <v>1.2903504589999999</v>
      </c>
      <c r="F35" s="311">
        <v>-35.234986829999997</v>
      </c>
      <c r="G35" s="311">
        <v>2.1064246880000002</v>
      </c>
      <c r="H35" s="311">
        <v>0.45572533300000001</v>
      </c>
      <c r="I35" s="313">
        <v>40</v>
      </c>
      <c r="J35" s="314">
        <v>0</v>
      </c>
      <c r="K35" s="314">
        <v>0</v>
      </c>
      <c r="L35" s="314">
        <v>0</v>
      </c>
      <c r="M35" s="315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8" t="str">
        <f t="shared" si="3"/>
        <v>BD2</v>
      </c>
      <c r="D36" s="224" t="s">
        <v>185</v>
      </c>
      <c r="E36" s="311">
        <v>2.1095878429999999</v>
      </c>
      <c r="F36" s="311">
        <v>-35.84445084</v>
      </c>
      <c r="G36" s="311">
        <v>5.2154672279999996</v>
      </c>
      <c r="H36" s="311">
        <v>0.28545825400000002</v>
      </c>
      <c r="I36" s="313">
        <v>40</v>
      </c>
      <c r="J36" s="314">
        <v>0</v>
      </c>
      <c r="K36" s="314">
        <v>0</v>
      </c>
      <c r="L36" s="314">
        <v>0</v>
      </c>
      <c r="M36" s="315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8" t="str">
        <f t="shared" si="3"/>
        <v>BD3</v>
      </c>
      <c r="D37" s="224" t="s">
        <v>186</v>
      </c>
      <c r="E37" s="311">
        <v>2.917702722</v>
      </c>
      <c r="F37" s="311">
        <v>-36.179411649999999</v>
      </c>
      <c r="G37" s="311">
        <v>5.9265161649999998</v>
      </c>
      <c r="H37" s="311">
        <v>0.11519117600000001</v>
      </c>
      <c r="I37" s="313">
        <v>40</v>
      </c>
      <c r="J37" s="314">
        <v>0</v>
      </c>
      <c r="K37" s="314">
        <v>0</v>
      </c>
      <c r="L37" s="314">
        <v>0</v>
      </c>
      <c r="M37" s="315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8" t="str">
        <f t="shared" si="3"/>
        <v>BD4</v>
      </c>
      <c r="D38" s="224" t="s">
        <v>187</v>
      </c>
      <c r="E38" s="311">
        <v>3.75</v>
      </c>
      <c r="F38" s="311">
        <v>-37.5</v>
      </c>
      <c r="G38" s="311">
        <v>6.8</v>
      </c>
      <c r="H38" s="311">
        <v>6.0911264999999999E-2</v>
      </c>
      <c r="I38" s="313">
        <v>40</v>
      </c>
      <c r="J38" s="314">
        <v>0</v>
      </c>
      <c r="K38" s="314">
        <v>0</v>
      </c>
      <c r="L38" s="314">
        <v>0</v>
      </c>
      <c r="M38" s="315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8" t="str">
        <f t="shared" si="3"/>
        <v>BD5</v>
      </c>
      <c r="D39" s="224" t="s">
        <v>188</v>
      </c>
      <c r="E39" s="311">
        <v>4.5699505650000001</v>
      </c>
      <c r="F39" s="311">
        <v>-38.535339239999999</v>
      </c>
      <c r="G39" s="311">
        <v>7.5976990989999997</v>
      </c>
      <c r="H39" s="311">
        <v>6.6313539999999999E-3</v>
      </c>
      <c r="I39" s="313">
        <v>40</v>
      </c>
      <c r="J39" s="314">
        <v>0</v>
      </c>
      <c r="K39" s="314">
        <v>0</v>
      </c>
      <c r="L39" s="314">
        <v>0</v>
      </c>
      <c r="M39" s="315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8" t="str">
        <f t="shared" si="3"/>
        <v>DB3</v>
      </c>
      <c r="D40" s="224" t="s">
        <v>189</v>
      </c>
      <c r="E40" s="316">
        <v>1.4633681573374999</v>
      </c>
      <c r="F40" s="316">
        <v>-36.179411649999999</v>
      </c>
      <c r="G40" s="316">
        <v>5.9265161649999998</v>
      </c>
      <c r="H40" s="316">
        <v>8.08834761578303E-2</v>
      </c>
      <c r="I40" s="317">
        <v>40</v>
      </c>
      <c r="J40" s="318">
        <v>-4.7579990370695997E-2</v>
      </c>
      <c r="K40" s="318">
        <v>0.82307541850402</v>
      </c>
      <c r="L40" s="318">
        <v>-1.92725690584626E-3</v>
      </c>
      <c r="M40" s="319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8" t="str">
        <f t="shared" si="3"/>
        <v>DB4</v>
      </c>
      <c r="D41" s="224" t="s">
        <v>190</v>
      </c>
      <c r="E41" s="320">
        <v>1.5175791604409099</v>
      </c>
      <c r="F41" s="320">
        <v>-37.5</v>
      </c>
      <c r="G41" s="320">
        <v>6.8</v>
      </c>
      <c r="H41" s="320">
        <v>2.9580053248030098E-2</v>
      </c>
      <c r="I41" s="321">
        <v>40</v>
      </c>
      <c r="J41" s="322">
        <v>-7.8855918399573705E-2</v>
      </c>
      <c r="K41" s="322">
        <v>1.21612498767079</v>
      </c>
      <c r="L41" s="322">
        <v>-1.31336800852578E-3</v>
      </c>
      <c r="M41" s="323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8" t="str">
        <f t="shared" si="3"/>
        <v>GA1</v>
      </c>
      <c r="D42" s="224" t="s">
        <v>191</v>
      </c>
      <c r="E42" s="311">
        <v>1.177034538</v>
      </c>
      <c r="F42" s="311">
        <v>-39.159991400000003</v>
      </c>
      <c r="G42" s="311">
        <v>4.2076109639999997</v>
      </c>
      <c r="H42" s="311">
        <v>0.66047393200000004</v>
      </c>
      <c r="I42" s="313">
        <v>40</v>
      </c>
      <c r="J42" s="314">
        <v>0</v>
      </c>
      <c r="K42" s="314">
        <v>0</v>
      </c>
      <c r="L42" s="314">
        <v>0</v>
      </c>
      <c r="M42" s="315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8" t="str">
        <f t="shared" si="3"/>
        <v>GA2</v>
      </c>
      <c r="D43" s="224" t="s">
        <v>192</v>
      </c>
      <c r="E43" s="311">
        <v>1.648762294</v>
      </c>
      <c r="F43" s="311">
        <v>-36.399273569999998</v>
      </c>
      <c r="G43" s="311">
        <v>6.2149172090000002</v>
      </c>
      <c r="H43" s="311">
        <v>0.48776373299999998</v>
      </c>
      <c r="I43" s="313">
        <v>40</v>
      </c>
      <c r="J43" s="314">
        <v>0</v>
      </c>
      <c r="K43" s="314">
        <v>0</v>
      </c>
      <c r="L43" s="314">
        <v>0</v>
      </c>
      <c r="M43" s="315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8" t="str">
        <f t="shared" si="3"/>
        <v>GA3</v>
      </c>
      <c r="D44" s="224" t="s">
        <v>193</v>
      </c>
      <c r="E44" s="311">
        <v>2.2850164739999999</v>
      </c>
      <c r="F44" s="311">
        <v>-36.287858389999997</v>
      </c>
      <c r="G44" s="311">
        <v>6.5885126390000002</v>
      </c>
      <c r="H44" s="311">
        <v>0.31505353400000002</v>
      </c>
      <c r="I44" s="313">
        <v>40</v>
      </c>
      <c r="J44" s="314">
        <v>0</v>
      </c>
      <c r="K44" s="314">
        <v>0</v>
      </c>
      <c r="L44" s="314">
        <v>0</v>
      </c>
      <c r="M44" s="315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8" t="str">
        <f t="shared" si="3"/>
        <v>GA4</v>
      </c>
      <c r="D45" s="224" t="s">
        <v>194</v>
      </c>
      <c r="E45" s="311">
        <v>2.8195656150000001</v>
      </c>
      <c r="F45" s="311">
        <v>-36</v>
      </c>
      <c r="G45" s="311">
        <v>7.7368517680000002</v>
      </c>
      <c r="H45" s="311">
        <v>0.15728097999999999</v>
      </c>
      <c r="I45" s="313">
        <v>40</v>
      </c>
      <c r="J45" s="314">
        <v>0</v>
      </c>
      <c r="K45" s="314">
        <v>0</v>
      </c>
      <c r="L45" s="314">
        <v>0</v>
      </c>
      <c r="M45" s="315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8" t="str">
        <f t="shared" si="3"/>
        <v>GA5</v>
      </c>
      <c r="D46" s="224" t="s">
        <v>195</v>
      </c>
      <c r="E46" s="311">
        <v>3.3295574819999998</v>
      </c>
      <c r="F46" s="311">
        <v>-36.014621120000001</v>
      </c>
      <c r="G46" s="311">
        <v>8.7767464709999992</v>
      </c>
      <c r="H46" s="311">
        <v>0</v>
      </c>
      <c r="I46" s="313">
        <v>40</v>
      </c>
      <c r="J46" s="314">
        <v>0</v>
      </c>
      <c r="K46" s="314">
        <v>0</v>
      </c>
      <c r="L46" s="314">
        <v>0</v>
      </c>
      <c r="M46" s="315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8" t="str">
        <f t="shared" si="3"/>
        <v>AG3</v>
      </c>
      <c r="D47" s="224" t="s">
        <v>196</v>
      </c>
      <c r="E47" s="316">
        <v>1.15820816823062</v>
      </c>
      <c r="F47" s="316">
        <v>-36.287858389999997</v>
      </c>
      <c r="G47" s="316">
        <v>6.5885126390000002</v>
      </c>
      <c r="H47" s="316">
        <v>0.223568019279065</v>
      </c>
      <c r="I47" s="317">
        <v>40</v>
      </c>
      <c r="J47" s="318">
        <v>-4.1033478424869901E-2</v>
      </c>
      <c r="K47" s="318">
        <v>0.75264513854265702</v>
      </c>
      <c r="L47" s="318">
        <v>-9.0876855297962304E-4</v>
      </c>
      <c r="M47" s="319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8" t="str">
        <f t="shared" si="3"/>
        <v>AG4</v>
      </c>
      <c r="D48" s="224" t="s">
        <v>197</v>
      </c>
      <c r="E48" s="320">
        <v>1.18483197659357</v>
      </c>
      <c r="F48" s="320">
        <v>-36</v>
      </c>
      <c r="G48" s="320">
        <v>7.7368517680000002</v>
      </c>
      <c r="H48" s="320">
        <v>7.9310742089883396E-2</v>
      </c>
      <c r="I48" s="321">
        <v>40</v>
      </c>
      <c r="J48" s="322">
        <v>-6.8738315813288001E-2</v>
      </c>
      <c r="K48" s="322">
        <v>1.1308570050851501</v>
      </c>
      <c r="L48" s="322">
        <v>-6.58695704968982E-4</v>
      </c>
      <c r="M48" s="323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8" t="str">
        <f t="shared" si="3"/>
        <v>BH1</v>
      </c>
      <c r="D49" s="224" t="s">
        <v>198</v>
      </c>
      <c r="E49" s="311">
        <v>1.4771785690000001</v>
      </c>
      <c r="F49" s="311">
        <v>-35.083444710000002</v>
      </c>
      <c r="G49" s="311">
        <v>5.412342465</v>
      </c>
      <c r="H49" s="311">
        <v>0.47442640800000002</v>
      </c>
      <c r="I49" s="313">
        <v>40</v>
      </c>
      <c r="J49" s="314">
        <v>0</v>
      </c>
      <c r="K49" s="314">
        <v>0</v>
      </c>
      <c r="L49" s="314">
        <v>0</v>
      </c>
      <c r="M49" s="315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8" t="str">
        <f t="shared" si="3"/>
        <v>BH2</v>
      </c>
      <c r="D50" s="224" t="s">
        <v>199</v>
      </c>
      <c r="E50" s="311">
        <v>1.70052794</v>
      </c>
      <c r="F50" s="311">
        <v>-35.15</v>
      </c>
      <c r="G50" s="311">
        <v>6.1632738509999996</v>
      </c>
      <c r="H50" s="311">
        <v>0.42982608500000002</v>
      </c>
      <c r="I50" s="313">
        <v>40</v>
      </c>
      <c r="J50" s="314">
        <v>0</v>
      </c>
      <c r="K50" s="314">
        <v>0</v>
      </c>
      <c r="L50" s="314">
        <v>0</v>
      </c>
      <c r="M50" s="315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8" t="str">
        <f t="shared" si="3"/>
        <v>BH3</v>
      </c>
      <c r="D51" s="224" t="s">
        <v>200</v>
      </c>
      <c r="E51" s="311">
        <v>2.0102471730000002</v>
      </c>
      <c r="F51" s="311">
        <v>-35.253212349999998</v>
      </c>
      <c r="G51" s="311">
        <v>6.1544406409999999</v>
      </c>
      <c r="H51" s="311">
        <v>0.32947409700000002</v>
      </c>
      <c r="I51" s="313">
        <v>40</v>
      </c>
      <c r="J51" s="314">
        <v>0</v>
      </c>
      <c r="K51" s="314">
        <v>0</v>
      </c>
      <c r="L51" s="314">
        <v>0</v>
      </c>
      <c r="M51" s="315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8" t="str">
        <f t="shared" si="3"/>
        <v>BH4</v>
      </c>
      <c r="D52" s="224" t="s">
        <v>201</v>
      </c>
      <c r="E52" s="311">
        <v>2.4595180609999998</v>
      </c>
      <c r="F52" s="311">
        <v>-35.253212349999998</v>
      </c>
      <c r="G52" s="311">
        <v>6.0587000719999997</v>
      </c>
      <c r="H52" s="311">
        <v>0.164737049</v>
      </c>
      <c r="I52" s="313">
        <v>40</v>
      </c>
      <c r="J52" s="314">
        <v>0</v>
      </c>
      <c r="K52" s="314">
        <v>0</v>
      </c>
      <c r="L52" s="314">
        <v>0</v>
      </c>
      <c r="M52" s="315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8" t="str">
        <f t="shared" si="3"/>
        <v>BH5</v>
      </c>
      <c r="D53" s="224" t="s">
        <v>202</v>
      </c>
      <c r="E53" s="311">
        <v>2.98</v>
      </c>
      <c r="F53" s="311">
        <v>-35.799999999999997</v>
      </c>
      <c r="G53" s="311">
        <v>5.6340580620000003</v>
      </c>
      <c r="H53" s="311">
        <v>0</v>
      </c>
      <c r="I53" s="313">
        <v>40</v>
      </c>
      <c r="J53" s="314">
        <v>0</v>
      </c>
      <c r="K53" s="314">
        <v>0</v>
      </c>
      <c r="L53" s="314">
        <v>0</v>
      </c>
      <c r="M53" s="315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8" t="str">
        <f t="shared" si="3"/>
        <v>HB3</v>
      </c>
      <c r="D54" s="224" t="s">
        <v>203</v>
      </c>
      <c r="E54" s="316">
        <v>0.98742830199278697</v>
      </c>
      <c r="F54" s="316">
        <v>-35.253212349999998</v>
      </c>
      <c r="G54" s="316">
        <v>6.1544406409999999</v>
      </c>
      <c r="H54" s="316">
        <v>0.226571574644788</v>
      </c>
      <c r="I54" s="317">
        <v>40</v>
      </c>
      <c r="J54" s="318">
        <v>-3.3901972877937302E-2</v>
      </c>
      <c r="K54" s="318">
        <v>0.69382336958448299</v>
      </c>
      <c r="L54" s="318">
        <v>-1.2849007801732501E-3</v>
      </c>
      <c r="M54" s="319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8" t="str">
        <f t="shared" si="3"/>
        <v>HB4</v>
      </c>
      <c r="D55" s="224" t="s">
        <v>204</v>
      </c>
      <c r="E55" s="320">
        <v>0.987258471486126</v>
      </c>
      <c r="F55" s="320">
        <v>-35.253212349999998</v>
      </c>
      <c r="G55" s="320">
        <v>6.0587000719999997</v>
      </c>
      <c r="H55" s="320">
        <v>7.9351178479290699E-2</v>
      </c>
      <c r="I55" s="321">
        <v>40</v>
      </c>
      <c r="J55" s="322">
        <v>-4.95013227495672E-2</v>
      </c>
      <c r="K55" s="322">
        <v>0.96379986125322403</v>
      </c>
      <c r="L55" s="322">
        <v>-2.2303785271091201E-3</v>
      </c>
      <c r="M55" s="323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8" t="str">
        <f t="shared" si="3"/>
        <v>WA1</v>
      </c>
      <c r="D56" s="224" t="s">
        <v>205</v>
      </c>
      <c r="E56" s="311">
        <v>0.4</v>
      </c>
      <c r="F56" s="311">
        <v>-40.514948179999998</v>
      </c>
      <c r="G56" s="311">
        <v>2.874795695</v>
      </c>
      <c r="H56" s="311">
        <v>0.93510758400000005</v>
      </c>
      <c r="I56" s="313">
        <v>40</v>
      </c>
      <c r="J56" s="314">
        <v>0</v>
      </c>
      <c r="K56" s="314">
        <v>0</v>
      </c>
      <c r="L56" s="314">
        <v>0</v>
      </c>
      <c r="M56" s="315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8" t="str">
        <f t="shared" si="3"/>
        <v>WA2</v>
      </c>
      <c r="D57" s="224" t="s">
        <v>206</v>
      </c>
      <c r="E57" s="311">
        <v>0.61662289299999995</v>
      </c>
      <c r="F57" s="311">
        <v>-38.4</v>
      </c>
      <c r="G57" s="311">
        <v>3.8705351889999999</v>
      </c>
      <c r="H57" s="311">
        <v>0.87002503099999995</v>
      </c>
      <c r="I57" s="313">
        <v>40</v>
      </c>
      <c r="J57" s="314">
        <v>0</v>
      </c>
      <c r="K57" s="314">
        <v>0</v>
      </c>
      <c r="L57" s="314">
        <v>0</v>
      </c>
      <c r="M57" s="315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8" t="str">
        <f t="shared" si="3"/>
        <v>WA3</v>
      </c>
      <c r="D58" s="224" t="s">
        <v>207</v>
      </c>
      <c r="E58" s="311">
        <v>0.76572901199999999</v>
      </c>
      <c r="F58" s="311">
        <v>-36.023791150000001</v>
      </c>
      <c r="G58" s="311">
        <v>4.8662746830000003</v>
      </c>
      <c r="H58" s="311">
        <v>0.80494247799999996</v>
      </c>
      <c r="I58" s="313">
        <v>40</v>
      </c>
      <c r="J58" s="314">
        <v>0</v>
      </c>
      <c r="K58" s="314">
        <v>0</v>
      </c>
      <c r="L58" s="314">
        <v>0</v>
      </c>
      <c r="M58" s="315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8" t="str">
        <f t="shared" si="3"/>
        <v>WA4</v>
      </c>
      <c r="D59" s="224" t="s">
        <v>208</v>
      </c>
      <c r="E59" s="311">
        <v>1.053587472</v>
      </c>
      <c r="F59" s="311">
        <v>-35.299999999999997</v>
      </c>
      <c r="G59" s="311">
        <v>4.8662746830000003</v>
      </c>
      <c r="H59" s="311">
        <v>0.68110423399999998</v>
      </c>
      <c r="I59" s="313">
        <v>40</v>
      </c>
      <c r="J59" s="314">
        <v>0</v>
      </c>
      <c r="K59" s="314">
        <v>0</v>
      </c>
      <c r="L59" s="314">
        <v>0</v>
      </c>
      <c r="M59" s="315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8" t="str">
        <f t="shared" si="3"/>
        <v>WA5</v>
      </c>
      <c r="D60" s="224" t="s">
        <v>209</v>
      </c>
      <c r="E60" s="311">
        <v>1.276885373</v>
      </c>
      <c r="F60" s="311">
        <v>-34.342437070000003</v>
      </c>
      <c r="G60" s="311">
        <v>5.4518822419999999</v>
      </c>
      <c r="H60" s="311">
        <v>0.55726598999999999</v>
      </c>
      <c r="I60" s="313">
        <v>40</v>
      </c>
      <c r="J60" s="314">
        <v>0</v>
      </c>
      <c r="K60" s="314">
        <v>0</v>
      </c>
      <c r="L60" s="314">
        <v>0</v>
      </c>
      <c r="M60" s="315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8" t="str">
        <f t="shared" si="3"/>
        <v>AW3</v>
      </c>
      <c r="D61" s="224" t="s">
        <v>210</v>
      </c>
      <c r="E61" s="316">
        <v>0.33378383212380802</v>
      </c>
      <c r="F61" s="316">
        <v>-36.023791150000001</v>
      </c>
      <c r="G61" s="316">
        <v>4.8662746830000003</v>
      </c>
      <c r="H61" s="316">
        <v>0.49122795797177399</v>
      </c>
      <c r="I61" s="317">
        <v>40</v>
      </c>
      <c r="J61" s="318">
        <v>-9.2263492839078001E-3</v>
      </c>
      <c r="K61" s="318">
        <v>0.45957571089624999</v>
      </c>
      <c r="L61" s="318">
        <v>-9.6764244989513298E-4</v>
      </c>
      <c r="M61" s="319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8" t="str">
        <f t="shared" si="3"/>
        <v>AW4</v>
      </c>
      <c r="D62" s="224" t="s">
        <v>211</v>
      </c>
      <c r="E62" s="320">
        <v>0.39253387380634902</v>
      </c>
      <c r="F62" s="320">
        <v>-35.299999999999997</v>
      </c>
      <c r="G62" s="320">
        <v>4.8662746830000003</v>
      </c>
      <c r="H62" s="320">
        <v>0.30450986619695802</v>
      </c>
      <c r="I62" s="321">
        <v>40</v>
      </c>
      <c r="J62" s="322">
        <v>-1.67993072626435E-2</v>
      </c>
      <c r="K62" s="322">
        <v>0.67108889173422104</v>
      </c>
      <c r="L62" s="322">
        <v>-2.0300823594516502E-3</v>
      </c>
      <c r="M62" s="323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8" t="str">
        <f t="shared" si="3"/>
        <v>GB1</v>
      </c>
      <c r="D63" s="224" t="s">
        <v>212</v>
      </c>
      <c r="E63" s="311">
        <v>3.176194476</v>
      </c>
      <c r="F63" s="311">
        <v>-40.836660860000002</v>
      </c>
      <c r="G63" s="311">
        <v>3.6785891739999999</v>
      </c>
      <c r="H63" s="311">
        <v>0.15021557599999999</v>
      </c>
      <c r="I63" s="313">
        <v>40</v>
      </c>
      <c r="J63" s="314">
        <v>0</v>
      </c>
      <c r="K63" s="314">
        <v>0</v>
      </c>
      <c r="L63" s="314">
        <v>0</v>
      </c>
      <c r="M63" s="315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8" t="str">
        <f t="shared" si="3"/>
        <v>GB2</v>
      </c>
      <c r="D64" s="224" t="s">
        <v>213</v>
      </c>
      <c r="E64" s="311">
        <v>3.3904645059999998</v>
      </c>
      <c r="F64" s="311">
        <v>-39.287521640000001</v>
      </c>
      <c r="G64" s="311">
        <v>4.4905740459999999</v>
      </c>
      <c r="H64" s="311">
        <v>8.3478316999999996E-2</v>
      </c>
      <c r="I64" s="313">
        <v>40</v>
      </c>
      <c r="J64" s="314">
        <v>0</v>
      </c>
      <c r="K64" s="314">
        <v>0</v>
      </c>
      <c r="L64" s="314">
        <v>0</v>
      </c>
      <c r="M64" s="315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8" t="str">
        <f t="shared" si="3"/>
        <v>GB3</v>
      </c>
      <c r="D65" s="224" t="s">
        <v>214</v>
      </c>
      <c r="E65" s="311">
        <v>3.2572742130000001</v>
      </c>
      <c r="F65" s="311">
        <v>-37.5</v>
      </c>
      <c r="G65" s="311">
        <v>6.3462147949999999</v>
      </c>
      <c r="H65" s="311">
        <v>8.6622649999999995E-2</v>
      </c>
      <c r="I65" s="313">
        <v>40</v>
      </c>
      <c r="J65" s="314">
        <v>0</v>
      </c>
      <c r="K65" s="314">
        <v>0</v>
      </c>
      <c r="L65" s="314">
        <v>0</v>
      </c>
      <c r="M65" s="315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8" t="str">
        <f t="shared" si="3"/>
        <v>GB4</v>
      </c>
      <c r="D66" s="224" t="s">
        <v>215</v>
      </c>
      <c r="E66" s="311">
        <v>3.601773562</v>
      </c>
      <c r="F66" s="311">
        <v>-37.88253684</v>
      </c>
      <c r="G66" s="311">
        <v>6.9836070289999999</v>
      </c>
      <c r="H66" s="311">
        <v>5.4826185999999999E-2</v>
      </c>
      <c r="I66" s="313">
        <v>40</v>
      </c>
      <c r="J66" s="314">
        <v>0</v>
      </c>
      <c r="K66" s="314">
        <v>0</v>
      </c>
      <c r="L66" s="314">
        <v>0</v>
      </c>
      <c r="M66" s="315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8" t="str">
        <f t="shared" si="3"/>
        <v>GB5</v>
      </c>
      <c r="D67" s="224" t="s">
        <v>216</v>
      </c>
      <c r="E67" s="311">
        <v>3.9320532479999999</v>
      </c>
      <c r="F67" s="311">
        <v>-38.143324819999997</v>
      </c>
      <c r="G67" s="311">
        <v>7.6185870979999999</v>
      </c>
      <c r="H67" s="311">
        <v>2.3029722999999998E-2</v>
      </c>
      <c r="I67" s="313">
        <v>40</v>
      </c>
      <c r="J67" s="314">
        <v>0</v>
      </c>
      <c r="K67" s="314">
        <v>0</v>
      </c>
      <c r="L67" s="314">
        <v>0</v>
      </c>
      <c r="M67" s="315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4">
        <v>1.82137779524266</v>
      </c>
      <c r="F68" s="324">
        <v>-37.5</v>
      </c>
      <c r="G68" s="324">
        <v>6.3462147949999999</v>
      </c>
      <c r="H68" s="324">
        <v>6.7811791498411197E-2</v>
      </c>
      <c r="I68" s="325">
        <v>40</v>
      </c>
      <c r="J68" s="326">
        <v>-6.0766568968526301E-2</v>
      </c>
      <c r="K68" s="326">
        <v>0.93081585658295796</v>
      </c>
      <c r="L68" s="326">
        <v>-1.3966888276177401E-3</v>
      </c>
      <c r="M68" s="327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8" t="str">
        <f t="shared" si="6"/>
        <v>BG4</v>
      </c>
      <c r="D69" s="224" t="s">
        <v>218</v>
      </c>
      <c r="E69" s="320">
        <v>1.62668116109167</v>
      </c>
      <c r="F69" s="320">
        <v>-37.88253684</v>
      </c>
      <c r="G69" s="320">
        <v>6.9836070289999999</v>
      </c>
      <c r="H69" s="320">
        <v>2.9713602712276601E-2</v>
      </c>
      <c r="I69" s="321">
        <v>40</v>
      </c>
      <c r="J69" s="322">
        <v>-8.5433289200744306E-2</v>
      </c>
      <c r="K69" s="322">
        <v>1.2709629183122999</v>
      </c>
      <c r="L69" s="322">
        <v>-1.1319192336313501E-3</v>
      </c>
      <c r="M69" s="323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8" t="str">
        <f t="shared" si="6"/>
        <v>BA1</v>
      </c>
      <c r="D70" s="224" t="s">
        <v>219</v>
      </c>
      <c r="E70" s="311">
        <v>0.15</v>
      </c>
      <c r="F70" s="311">
        <v>-36</v>
      </c>
      <c r="G70" s="311">
        <v>2</v>
      </c>
      <c r="H70" s="311">
        <v>1</v>
      </c>
      <c r="I70" s="313">
        <v>40</v>
      </c>
      <c r="J70" s="314">
        <v>0</v>
      </c>
      <c r="K70" s="314">
        <v>0</v>
      </c>
      <c r="L70" s="314">
        <v>0</v>
      </c>
      <c r="M70" s="315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8" t="str">
        <f t="shared" si="6"/>
        <v>BA2</v>
      </c>
      <c r="D71" s="224" t="s">
        <v>220</v>
      </c>
      <c r="E71" s="311">
        <v>0.38791910400000001</v>
      </c>
      <c r="F71" s="311">
        <v>-35.5</v>
      </c>
      <c r="G71" s="311">
        <v>4</v>
      </c>
      <c r="H71" s="311">
        <v>0.90548154300000006</v>
      </c>
      <c r="I71" s="313">
        <v>40</v>
      </c>
      <c r="J71" s="314">
        <v>0</v>
      </c>
      <c r="K71" s="314">
        <v>0</v>
      </c>
      <c r="L71" s="314">
        <v>0</v>
      </c>
      <c r="M71" s="315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8" t="str">
        <f t="shared" si="6"/>
        <v>BA3</v>
      </c>
      <c r="D72" s="224" t="s">
        <v>221</v>
      </c>
      <c r="E72" s="311">
        <v>0.62619621599999997</v>
      </c>
      <c r="F72" s="311">
        <v>-33</v>
      </c>
      <c r="G72" s="311">
        <v>5.7212302499999996</v>
      </c>
      <c r="H72" s="311">
        <v>0.78556546000000005</v>
      </c>
      <c r="I72" s="313">
        <v>40</v>
      </c>
      <c r="J72" s="314">
        <v>0</v>
      </c>
      <c r="K72" s="314">
        <v>0</v>
      </c>
      <c r="L72" s="314">
        <v>0</v>
      </c>
      <c r="M72" s="315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8" t="str">
        <f t="shared" si="6"/>
        <v>BA4</v>
      </c>
      <c r="D73" s="224" t="s">
        <v>222</v>
      </c>
      <c r="E73" s="311">
        <v>0.93158890100000002</v>
      </c>
      <c r="F73" s="311">
        <v>-33.35</v>
      </c>
      <c r="G73" s="311">
        <v>5.7212302499999996</v>
      </c>
      <c r="H73" s="311">
        <v>0.66564937700000004</v>
      </c>
      <c r="I73" s="313">
        <v>40</v>
      </c>
      <c r="J73" s="314">
        <v>0</v>
      </c>
      <c r="K73" s="314">
        <v>0</v>
      </c>
      <c r="L73" s="314">
        <v>0</v>
      </c>
      <c r="M73" s="315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8" t="str">
        <f t="shared" si="6"/>
        <v>BA5</v>
      </c>
      <c r="D74" s="224" t="s">
        <v>223</v>
      </c>
      <c r="E74" s="311">
        <v>1.2779567300000001</v>
      </c>
      <c r="F74" s="311">
        <v>-34.517392000000001</v>
      </c>
      <c r="G74" s="311">
        <v>5.7212302499999996</v>
      </c>
      <c r="H74" s="311">
        <v>0.54573329400000004</v>
      </c>
      <c r="I74" s="313">
        <v>40</v>
      </c>
      <c r="J74" s="314">
        <v>0</v>
      </c>
      <c r="K74" s="314">
        <v>0</v>
      </c>
      <c r="L74" s="314">
        <v>0</v>
      </c>
      <c r="M74" s="315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8" t="str">
        <f t="shared" si="6"/>
        <v>AB3</v>
      </c>
      <c r="D75" s="224" t="s">
        <v>224</v>
      </c>
      <c r="E75" s="324">
        <v>0.27700871173110803</v>
      </c>
      <c r="F75" s="324">
        <v>-33</v>
      </c>
      <c r="G75" s="324">
        <v>5.7212302499999996</v>
      </c>
      <c r="H75" s="324">
        <v>0.4865118291885</v>
      </c>
      <c r="I75" s="325">
        <v>40</v>
      </c>
      <c r="J75" s="326">
        <v>-9.4849130944012709E-3</v>
      </c>
      <c r="K75" s="326">
        <v>0.46302369368771501</v>
      </c>
      <c r="L75" s="326">
        <v>-7.1341860056578195E-4</v>
      </c>
      <c r="M75" s="327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8" t="str">
        <f t="shared" si="6"/>
        <v>AB4</v>
      </c>
      <c r="D76" s="224" t="s">
        <v>225</v>
      </c>
      <c r="E76" s="320">
        <v>0.35376401507794197</v>
      </c>
      <c r="F76" s="320">
        <v>-33.35</v>
      </c>
      <c r="G76" s="320">
        <v>5.7212302499999996</v>
      </c>
      <c r="H76" s="320">
        <v>0.30333053043746</v>
      </c>
      <c r="I76" s="321">
        <v>40</v>
      </c>
      <c r="J76" s="322">
        <v>-1.7746347868875599E-2</v>
      </c>
      <c r="K76" s="322">
        <v>0.68256991216863605</v>
      </c>
      <c r="L76" s="322">
        <v>-1.3911792841456701E-3</v>
      </c>
      <c r="M76" s="323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8" t="str">
        <f t="shared" si="6"/>
        <v>PD1</v>
      </c>
      <c r="D77" s="224" t="s">
        <v>226</v>
      </c>
      <c r="E77" s="311">
        <v>1.489402246</v>
      </c>
      <c r="F77" s="311">
        <v>-32.425267750000003</v>
      </c>
      <c r="G77" s="311">
        <v>8.1732612079999996</v>
      </c>
      <c r="H77" s="311">
        <v>0.390598736</v>
      </c>
      <c r="I77" s="313">
        <v>40</v>
      </c>
      <c r="J77" s="314">
        <v>0</v>
      </c>
      <c r="K77" s="314">
        <v>0</v>
      </c>
      <c r="L77" s="314">
        <v>0</v>
      </c>
      <c r="M77" s="315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8" t="str">
        <f t="shared" si="6"/>
        <v>PD2</v>
      </c>
      <c r="D78" s="224" t="s">
        <v>227</v>
      </c>
      <c r="E78" s="311">
        <v>2.5784172540000001</v>
      </c>
      <c r="F78" s="311">
        <v>-34.732126100000002</v>
      </c>
      <c r="G78" s="311">
        <v>6.4805035139999996</v>
      </c>
      <c r="H78" s="311">
        <v>0.140772912</v>
      </c>
      <c r="I78" s="313">
        <v>40</v>
      </c>
      <c r="J78" s="314">
        <v>0</v>
      </c>
      <c r="K78" s="314">
        <v>0</v>
      </c>
      <c r="L78" s="314">
        <v>0</v>
      </c>
      <c r="M78" s="315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8" t="str">
        <f t="shared" si="6"/>
        <v>PD3</v>
      </c>
      <c r="D79" s="224" t="s">
        <v>228</v>
      </c>
      <c r="E79" s="311">
        <v>3.2</v>
      </c>
      <c r="F79" s="311">
        <v>-35.799999999999997</v>
      </c>
      <c r="G79" s="311">
        <v>8.4</v>
      </c>
      <c r="H79" s="311">
        <v>9.3848608E-2</v>
      </c>
      <c r="I79" s="313">
        <v>40</v>
      </c>
      <c r="J79" s="314">
        <v>0</v>
      </c>
      <c r="K79" s="314">
        <v>0</v>
      </c>
      <c r="L79" s="314">
        <v>0</v>
      </c>
      <c r="M79" s="315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8" t="str">
        <f t="shared" si="6"/>
        <v>PD4</v>
      </c>
      <c r="D80" s="224" t="s">
        <v>229</v>
      </c>
      <c r="E80" s="311">
        <v>3.85</v>
      </c>
      <c r="F80" s="311">
        <v>-37</v>
      </c>
      <c r="G80" s="311">
        <v>10.2405021</v>
      </c>
      <c r="H80" s="311">
        <v>4.6924304E-2</v>
      </c>
      <c r="I80" s="313">
        <v>40</v>
      </c>
      <c r="J80" s="314">
        <v>0</v>
      </c>
      <c r="K80" s="314">
        <v>0</v>
      </c>
      <c r="L80" s="314">
        <v>0</v>
      </c>
      <c r="M80" s="315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8" t="str">
        <f t="shared" si="6"/>
        <v>PD5</v>
      </c>
      <c r="D81" s="224" t="s">
        <v>230</v>
      </c>
      <c r="E81" s="311">
        <v>4.7462813920000002</v>
      </c>
      <c r="F81" s="311">
        <v>-38.750429390000001</v>
      </c>
      <c r="G81" s="311">
        <v>10.27533341</v>
      </c>
      <c r="H81" s="311">
        <v>0</v>
      </c>
      <c r="I81" s="313">
        <v>40</v>
      </c>
      <c r="J81" s="314">
        <v>0</v>
      </c>
      <c r="K81" s="314">
        <v>0</v>
      </c>
      <c r="L81" s="314">
        <v>0</v>
      </c>
      <c r="M81" s="315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8" t="str">
        <f t="shared" si="6"/>
        <v>DP3</v>
      </c>
      <c r="D82" s="224" t="s">
        <v>231</v>
      </c>
      <c r="E82" s="324">
        <v>1.7110739256233101</v>
      </c>
      <c r="F82" s="324">
        <v>-35.799999999999997</v>
      </c>
      <c r="G82" s="324">
        <v>8.4</v>
      </c>
      <c r="H82" s="324">
        <v>7.0254583920868696E-2</v>
      </c>
      <c r="I82" s="325">
        <v>40</v>
      </c>
      <c r="J82" s="326">
        <v>-7.4538113411129703E-2</v>
      </c>
      <c r="K82" s="326">
        <v>1.04630053886108</v>
      </c>
      <c r="L82" s="326">
        <v>-3.6720793281783798E-4</v>
      </c>
      <c r="M82" s="327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8" t="str">
        <f t="shared" si="6"/>
        <v>DP4</v>
      </c>
      <c r="D83" s="224" t="s">
        <v>232</v>
      </c>
      <c r="E83" s="320">
        <v>1.88346094379506</v>
      </c>
      <c r="F83" s="320">
        <v>-37</v>
      </c>
      <c r="G83" s="320">
        <v>10.2405021</v>
      </c>
      <c r="H83" s="320">
        <v>2.7547042254160901E-2</v>
      </c>
      <c r="I83" s="321">
        <v>40</v>
      </c>
      <c r="J83" s="322">
        <v>-0.12530997479160699</v>
      </c>
      <c r="K83" s="322">
        <v>1.62759988176077</v>
      </c>
      <c r="L83" s="322">
        <v>-1.10508201486912E-4</v>
      </c>
      <c r="M83" s="323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8" t="str">
        <f t="shared" si="6"/>
        <v>MF1</v>
      </c>
      <c r="D84" s="224" t="s">
        <v>233</v>
      </c>
      <c r="E84" s="311">
        <v>2.1163530869999998</v>
      </c>
      <c r="F84" s="311">
        <v>-34.262862310000003</v>
      </c>
      <c r="G84" s="311">
        <v>5.1763874239999996</v>
      </c>
      <c r="H84" s="311">
        <v>0.160694541</v>
      </c>
      <c r="I84" s="313">
        <v>40</v>
      </c>
      <c r="J84" s="314">
        <v>0</v>
      </c>
      <c r="K84" s="314">
        <v>0</v>
      </c>
      <c r="L84" s="314">
        <v>0</v>
      </c>
      <c r="M84" s="315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8" t="str">
        <f t="shared" si="6"/>
        <v>MF2</v>
      </c>
      <c r="D85" s="224" t="s">
        <v>234</v>
      </c>
      <c r="E85" s="311">
        <v>2.248633329</v>
      </c>
      <c r="F85" s="311">
        <v>-34.542843070000004</v>
      </c>
      <c r="G85" s="311">
        <v>5.5545244839999999</v>
      </c>
      <c r="H85" s="311">
        <v>0.14082196299999999</v>
      </c>
      <c r="I85" s="313">
        <v>40</v>
      </c>
      <c r="J85" s="314">
        <v>0</v>
      </c>
      <c r="K85" s="314">
        <v>0</v>
      </c>
      <c r="L85" s="314">
        <v>0</v>
      </c>
      <c r="M85" s="315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8" t="str">
        <f t="shared" si="6"/>
        <v>MF3</v>
      </c>
      <c r="D86" s="224" t="s">
        <v>235</v>
      </c>
      <c r="E86" s="311">
        <v>2.387761791</v>
      </c>
      <c r="F86" s="311">
        <v>-34.721360509999997</v>
      </c>
      <c r="G86" s="311">
        <v>5.8164304019999999</v>
      </c>
      <c r="H86" s="311">
        <v>0.120819368</v>
      </c>
      <c r="I86" s="313">
        <v>40</v>
      </c>
      <c r="J86" s="314">
        <v>0</v>
      </c>
      <c r="K86" s="314">
        <v>0</v>
      </c>
      <c r="L86" s="314">
        <v>0</v>
      </c>
      <c r="M86" s="315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8" t="str">
        <f t="shared" si="6"/>
        <v>MF4</v>
      </c>
      <c r="D87" s="224" t="s">
        <v>236</v>
      </c>
      <c r="E87" s="311">
        <v>2.5187775189999999</v>
      </c>
      <c r="F87" s="311">
        <v>-35.033375419999999</v>
      </c>
      <c r="G87" s="311">
        <v>6.224063396</v>
      </c>
      <c r="H87" s="311">
        <v>0.10107817199999999</v>
      </c>
      <c r="I87" s="313">
        <v>40</v>
      </c>
      <c r="J87" s="314">
        <v>0</v>
      </c>
      <c r="K87" s="314">
        <v>0</v>
      </c>
      <c r="L87" s="314">
        <v>0</v>
      </c>
      <c r="M87" s="315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8" t="str">
        <f t="shared" si="6"/>
        <v>MF5</v>
      </c>
      <c r="D88" s="224" t="s">
        <v>237</v>
      </c>
      <c r="E88" s="311">
        <v>2.656440592</v>
      </c>
      <c r="F88" s="311">
        <v>-35.251692669999997</v>
      </c>
      <c r="G88" s="311">
        <v>6.5182658619999998</v>
      </c>
      <c r="H88" s="311">
        <v>8.1205866000000002E-2</v>
      </c>
      <c r="I88" s="313">
        <v>40</v>
      </c>
      <c r="J88" s="314">
        <v>0</v>
      </c>
      <c r="K88" s="314">
        <v>0</v>
      </c>
      <c r="L88" s="314">
        <v>0</v>
      </c>
      <c r="M88" s="315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8" t="str">
        <f t="shared" si="6"/>
        <v>FM3</v>
      </c>
      <c r="D89" s="224" t="s">
        <v>238</v>
      </c>
      <c r="E89" s="324">
        <v>1.2328654654123199</v>
      </c>
      <c r="F89" s="324">
        <v>-34.721360509999997</v>
      </c>
      <c r="G89" s="324">
        <v>5.8164304019999999</v>
      </c>
      <c r="H89" s="324">
        <v>8.7335193020600194E-2</v>
      </c>
      <c r="I89" s="325">
        <v>40</v>
      </c>
      <c r="J89" s="326">
        <v>-4.0928399400390697E-2</v>
      </c>
      <c r="K89" s="326">
        <v>0.76729203945074098</v>
      </c>
      <c r="L89" s="326">
        <v>-2.23202741619469E-3</v>
      </c>
      <c r="M89" s="327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8" t="str">
        <f t="shared" si="6"/>
        <v>FM4</v>
      </c>
      <c r="D90" s="224" t="s">
        <v>239</v>
      </c>
      <c r="E90" s="320">
        <v>1.0443537680583199</v>
      </c>
      <c r="F90" s="320">
        <v>-35.033375419999999</v>
      </c>
      <c r="G90" s="320">
        <v>6.224063396</v>
      </c>
      <c r="H90" s="320">
        <v>5.0291716040989698E-2</v>
      </c>
      <c r="I90" s="321">
        <v>40</v>
      </c>
      <c r="J90" s="322">
        <v>-5.3583022235768898E-2</v>
      </c>
      <c r="K90" s="322">
        <v>0.99959009039973401</v>
      </c>
      <c r="L90" s="322">
        <v>-2.17584483209612E-3</v>
      </c>
      <c r="M90" s="323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8" t="str">
        <f t="shared" si="6"/>
        <v>HD3</v>
      </c>
      <c r="D91" s="224" t="s">
        <v>240</v>
      </c>
      <c r="E91" s="311">
        <v>2.579251014</v>
      </c>
      <c r="F91" s="311">
        <v>-35.681614400000001</v>
      </c>
      <c r="G91" s="311">
        <v>6.685797612</v>
      </c>
      <c r="H91" s="311">
        <v>0.19955409900000001</v>
      </c>
      <c r="I91" s="313">
        <v>40</v>
      </c>
      <c r="J91" s="314">
        <v>0</v>
      </c>
      <c r="K91" s="314">
        <v>0</v>
      </c>
      <c r="L91" s="314">
        <v>0</v>
      </c>
      <c r="M91" s="315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8" t="str">
        <f t="shared" si="6"/>
        <v>HD4</v>
      </c>
      <c r="D92" s="224" t="s">
        <v>241</v>
      </c>
      <c r="E92" s="311">
        <v>3.0084345560000001</v>
      </c>
      <c r="F92" s="311">
        <v>-36.607845269999999</v>
      </c>
      <c r="G92" s="311">
        <v>7.3211869529999998</v>
      </c>
      <c r="H92" s="311">
        <v>0.154966031</v>
      </c>
      <c r="I92" s="313">
        <v>40</v>
      </c>
      <c r="J92" s="314">
        <v>0</v>
      </c>
      <c r="K92" s="314">
        <v>0</v>
      </c>
      <c r="L92" s="314">
        <v>0</v>
      </c>
      <c r="M92" s="315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1">
        <v>1.3010623280670599</v>
      </c>
      <c r="F93" s="311">
        <v>-35.681614400000001</v>
      </c>
      <c r="G93" s="311">
        <v>6.685797612</v>
      </c>
      <c r="H93" s="311">
        <v>0.14092666704225201</v>
      </c>
      <c r="I93" s="313">
        <v>40</v>
      </c>
      <c r="J93" s="314">
        <v>-4.7342808824630003E-2</v>
      </c>
      <c r="K93" s="314">
        <v>0.81416912533326502</v>
      </c>
      <c r="L93" s="314">
        <v>-1.0600643623825999E-3</v>
      </c>
      <c r="M93" s="315">
        <v>0.132509207320192</v>
      </c>
    </row>
    <row r="94" spans="1:13" ht="1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8">
        <v>1.2569600366115099</v>
      </c>
      <c r="F94" s="328">
        <v>-36.607845269999999</v>
      </c>
      <c r="G94" s="328">
        <v>7.3211869529999998</v>
      </c>
      <c r="H94" s="328">
        <v>7.7695999446950006E-2</v>
      </c>
      <c r="I94" s="329">
        <v>40</v>
      </c>
      <c r="J94" s="330">
        <v>-6.9682598068340706E-2</v>
      </c>
      <c r="K94" s="330">
        <v>1.13797018307135</v>
      </c>
      <c r="L94" s="330">
        <v>-8.5220021901797499E-4</v>
      </c>
      <c r="M94" s="331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2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7" t="s">
        <v>245</v>
      </c>
      <c r="B96" s="127" t="s">
        <v>55</v>
      </c>
      <c r="C96" s="127" t="s">
        <v>319</v>
      </c>
      <c r="D96" s="232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7" t="s">
        <v>245</v>
      </c>
      <c r="B97" s="127" t="s">
        <v>60</v>
      </c>
      <c r="C97" s="127" t="s">
        <v>324</v>
      </c>
      <c r="D97" s="232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7" t="s">
        <v>245</v>
      </c>
      <c r="B98" s="127" t="s">
        <v>65</v>
      </c>
      <c r="C98" s="127" t="s">
        <v>329</v>
      </c>
      <c r="D98" s="232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7" t="s">
        <v>245</v>
      </c>
      <c r="B99" s="127" t="s">
        <v>18</v>
      </c>
      <c r="C99" s="127" t="s">
        <v>282</v>
      </c>
      <c r="D99" s="232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2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2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2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2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2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2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2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2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2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2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2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2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2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2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2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2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2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2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2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2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2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2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2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2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2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2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2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2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2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2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2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2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2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2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2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2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2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2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2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2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2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2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2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2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2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2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2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2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2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2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2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2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2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2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2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2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2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2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2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C6" sqref="C6"/>
    </sheetView>
  </sheetViews>
  <sheetFormatPr baseColWidth="10" defaultColWidth="0" defaultRowHeight="13.2" zeroHeight="1"/>
  <cols>
    <col min="1" max="1" width="2.88671875" style="74" customWidth="1"/>
    <col min="2" max="2" width="15.109375" style="74" customWidth="1"/>
    <col min="3" max="3" width="17.44140625" style="74" customWidth="1"/>
    <col min="4" max="4" width="5.88671875" style="74" hidden="1" customWidth="1"/>
    <col min="5" max="5" width="5.109375" style="74" customWidth="1"/>
    <col min="6" max="12" width="12.6640625" style="74" customWidth="1"/>
    <col min="13" max="30" width="5.6640625" style="74" customWidth="1"/>
    <col min="31" max="31" width="11.44140625" style="74" customWidth="1"/>
    <col min="32" max="16384" width="11.44140625" style="74" hidden="1"/>
  </cols>
  <sheetData>
    <row r="1" spans="2:30" ht="75" customHeight="1"/>
    <row r="2" spans="2:30" ht="22.8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Netzgesellschaft Frankfurt (Oder) mbH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4.4">
      <c r="B5" s="86" t="s">
        <v>441</v>
      </c>
      <c r="C5" s="63" t="str">
        <f>Netzbetreiber!D28</f>
        <v>Frankfurt (Oder)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4.4">
      <c r="B6" s="84" t="s">
        <v>439</v>
      </c>
      <c r="C6" s="346">
        <f>Netzbetreiber!$D$11</f>
        <v>9870096300008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" thickBot="1">
      <c r="B7" s="84" t="s">
        <v>133</v>
      </c>
      <c r="C7" s="57">
        <f>Netzbetreiber!$D$6</f>
        <v>44470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455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347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5" t="s">
        <v>583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395</v>
      </c>
      <c r="G10" s="363"/>
      <c r="H10" s="363"/>
      <c r="I10" s="363"/>
      <c r="J10" s="363"/>
      <c r="K10" s="363"/>
      <c r="L10" s="364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34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0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1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4.4">
      <c r="B12" s="108" t="s">
        <v>396</v>
      </c>
      <c r="C12" s="109"/>
      <c r="D12" s="110">
        <v>4</v>
      </c>
      <c r="E12" s="308">
        <f>MIN(SUMPRODUCT($M$11:$AD$11,M12:AD12),1)</f>
        <v>1</v>
      </c>
      <c r="F12" s="305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349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4.4">
      <c r="B13" s="115" t="s">
        <v>397</v>
      </c>
      <c r="C13" s="116"/>
      <c r="D13" s="110">
        <v>5</v>
      </c>
      <c r="E13" s="309">
        <f t="shared" ref="E13:E35" si="0">MIN(SUMPRODUCT($M$11:$AD$11,M13:AD13),1)</f>
        <v>0</v>
      </c>
      <c r="F13" s="306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350"/>
      <c r="Z13" s="118">
        <v>1</v>
      </c>
      <c r="AA13" s="118"/>
      <c r="AB13" s="118">
        <v>1</v>
      </c>
      <c r="AC13" s="119"/>
      <c r="AD13" s="68"/>
    </row>
    <row r="14" spans="2:30" ht="14.4">
      <c r="B14" s="115" t="s">
        <v>398</v>
      </c>
      <c r="C14" s="116"/>
      <c r="D14" s="110">
        <v>6</v>
      </c>
      <c r="E14" s="309">
        <f t="shared" si="0"/>
        <v>0</v>
      </c>
      <c r="F14" s="306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350"/>
      <c r="Z14" s="118"/>
      <c r="AA14" s="118"/>
      <c r="AB14" s="118"/>
      <c r="AC14" s="119"/>
      <c r="AD14" s="68"/>
    </row>
    <row r="15" spans="2:30" ht="14.4">
      <c r="B15" s="115" t="s">
        <v>400</v>
      </c>
      <c r="C15" s="116"/>
      <c r="D15" s="110">
        <v>7</v>
      </c>
      <c r="E15" s="309">
        <f t="shared" si="0"/>
        <v>0</v>
      </c>
      <c r="F15" s="306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350"/>
      <c r="Z15" s="118"/>
      <c r="AA15" s="118"/>
      <c r="AB15" s="118"/>
      <c r="AC15" s="119"/>
      <c r="AD15" s="68"/>
    </row>
    <row r="16" spans="2:30" ht="14.4">
      <c r="B16" s="120" t="s">
        <v>412</v>
      </c>
      <c r="C16" s="116"/>
      <c r="D16" s="110">
        <v>8</v>
      </c>
      <c r="E16" s="309">
        <f t="shared" si="0"/>
        <v>1</v>
      </c>
      <c r="F16" s="306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350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4.4">
      <c r="B17" s="120" t="s">
        <v>413</v>
      </c>
      <c r="C17" s="116"/>
      <c r="D17" s="110">
        <v>9</v>
      </c>
      <c r="E17" s="309">
        <f t="shared" si="0"/>
        <v>1</v>
      </c>
      <c r="F17" s="306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350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4.4">
      <c r="B18" s="120" t="s">
        <v>414</v>
      </c>
      <c r="C18" s="116"/>
      <c r="D18" s="110">
        <v>10</v>
      </c>
      <c r="E18" s="309">
        <f t="shared" si="0"/>
        <v>1</v>
      </c>
      <c r="F18" s="306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350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4.4">
      <c r="B19" s="333" t="s">
        <v>651</v>
      </c>
      <c r="C19" s="334"/>
      <c r="D19" s="110"/>
      <c r="E19" s="309">
        <v>1</v>
      </c>
      <c r="F19" s="306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350"/>
      <c r="Z19" s="118"/>
      <c r="AA19" s="118"/>
      <c r="AB19" s="118"/>
      <c r="AC19" s="119"/>
      <c r="AD19" s="68"/>
    </row>
    <row r="20" spans="2:30" ht="14.4">
      <c r="B20" s="120" t="s">
        <v>401</v>
      </c>
      <c r="C20" s="116"/>
      <c r="D20" s="110">
        <v>11</v>
      </c>
      <c r="E20" s="309">
        <f t="shared" si="0"/>
        <v>1</v>
      </c>
      <c r="F20" s="306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350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4.4">
      <c r="B21" s="120" t="s">
        <v>649</v>
      </c>
      <c r="C21" s="116"/>
      <c r="D21" s="110">
        <v>12</v>
      </c>
      <c r="E21" s="309">
        <f t="shared" si="0"/>
        <v>1</v>
      </c>
      <c r="F21" s="306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350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4.4">
      <c r="B22" s="120" t="s">
        <v>415</v>
      </c>
      <c r="C22" s="116"/>
      <c r="D22" s="110">
        <v>13</v>
      </c>
      <c r="E22" s="309">
        <f t="shared" si="0"/>
        <v>1</v>
      </c>
      <c r="F22" s="306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350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4.4">
      <c r="B23" s="120" t="s">
        <v>416</v>
      </c>
      <c r="C23" s="116"/>
      <c r="D23" s="110">
        <v>14</v>
      </c>
      <c r="E23" s="309">
        <f t="shared" si="0"/>
        <v>1</v>
      </c>
      <c r="F23" s="306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350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4.4">
      <c r="B24" s="115" t="s">
        <v>417</v>
      </c>
      <c r="C24" s="116"/>
      <c r="D24" s="110">
        <v>15</v>
      </c>
      <c r="E24" s="309">
        <f t="shared" si="0"/>
        <v>0</v>
      </c>
      <c r="F24" s="306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350"/>
      <c r="Z24" s="118">
        <v>1</v>
      </c>
      <c r="AA24" s="118"/>
      <c r="AB24" s="118"/>
      <c r="AC24" s="119"/>
      <c r="AD24" s="68"/>
    </row>
    <row r="25" spans="2:30" ht="14.4">
      <c r="B25" s="115" t="s">
        <v>402</v>
      </c>
      <c r="C25" s="116"/>
      <c r="D25" s="110">
        <v>16</v>
      </c>
      <c r="E25" s="309">
        <f t="shared" si="0"/>
        <v>0</v>
      </c>
      <c r="F25" s="306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350"/>
      <c r="Z25" s="118"/>
      <c r="AA25" s="118"/>
      <c r="AB25" s="118"/>
      <c r="AC25" s="119"/>
      <c r="AD25" s="68"/>
    </row>
    <row r="26" spans="2:30" ht="14.4">
      <c r="B26" s="115" t="s">
        <v>403</v>
      </c>
      <c r="C26" s="116"/>
      <c r="D26" s="110">
        <v>17</v>
      </c>
      <c r="E26" s="309">
        <f t="shared" si="0"/>
        <v>0</v>
      </c>
      <c r="F26" s="306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350"/>
      <c r="Z26" s="118">
        <v>1</v>
      </c>
      <c r="AA26" s="118"/>
      <c r="AB26" s="118"/>
      <c r="AC26" s="119"/>
      <c r="AD26" s="68"/>
    </row>
    <row r="27" spans="2:30" ht="14.4">
      <c r="B27" s="333" t="s">
        <v>650</v>
      </c>
      <c r="C27" s="334"/>
      <c r="D27" s="110"/>
      <c r="E27" s="309">
        <v>1</v>
      </c>
      <c r="F27" s="306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350"/>
      <c r="Z27" s="118"/>
      <c r="AA27" s="118"/>
      <c r="AB27" s="118"/>
      <c r="AC27" s="119">
        <v>1</v>
      </c>
      <c r="AD27" s="68"/>
    </row>
    <row r="28" spans="2:30" ht="14.4">
      <c r="B28" s="120" t="s">
        <v>404</v>
      </c>
      <c r="C28" s="116"/>
      <c r="D28" s="110">
        <v>18</v>
      </c>
      <c r="E28" s="309">
        <f t="shared" si="0"/>
        <v>1</v>
      </c>
      <c r="F28" s="306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350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0" customFormat="1" ht="14.4">
      <c r="B29" s="333" t="s">
        <v>405</v>
      </c>
      <c r="C29" s="334"/>
      <c r="D29" s="335">
        <v>19</v>
      </c>
      <c r="E29" s="336">
        <v>1</v>
      </c>
      <c r="F29" s="306" t="s">
        <v>392</v>
      </c>
      <c r="G29" s="306" t="s">
        <v>392</v>
      </c>
      <c r="H29" s="306" t="s">
        <v>392</v>
      </c>
      <c r="I29" s="306" t="s">
        <v>392</v>
      </c>
      <c r="J29" s="306" t="s">
        <v>392</v>
      </c>
      <c r="K29" s="306" t="s">
        <v>392</v>
      </c>
      <c r="L29" s="306" t="s">
        <v>392</v>
      </c>
      <c r="M29" s="111"/>
      <c r="N29" s="337">
        <v>1</v>
      </c>
      <c r="O29" s="338">
        <v>1</v>
      </c>
      <c r="P29" s="338"/>
      <c r="Q29" s="338"/>
      <c r="R29" s="338"/>
      <c r="S29" s="338">
        <v>1</v>
      </c>
      <c r="T29" s="338"/>
      <c r="U29" s="338"/>
      <c r="V29" s="338"/>
      <c r="W29" s="338">
        <v>1</v>
      </c>
      <c r="X29" s="338">
        <v>1</v>
      </c>
      <c r="Y29" s="350">
        <v>1</v>
      </c>
      <c r="Z29" s="338"/>
      <c r="AA29" s="338">
        <v>1</v>
      </c>
      <c r="AB29" s="338">
        <v>1</v>
      </c>
      <c r="AC29" s="339">
        <v>1</v>
      </c>
      <c r="AD29" s="68"/>
    </row>
    <row r="30" spans="2:30" ht="14.4">
      <c r="B30" s="115" t="s">
        <v>406</v>
      </c>
      <c r="C30" s="116"/>
      <c r="D30" s="110">
        <v>20</v>
      </c>
      <c r="E30" s="309">
        <f t="shared" si="0"/>
        <v>0</v>
      </c>
      <c r="F30" s="306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350"/>
      <c r="Z30" s="118">
        <v>1</v>
      </c>
      <c r="AA30" s="118"/>
      <c r="AB30" s="118"/>
      <c r="AC30" s="119"/>
      <c r="AD30" s="68"/>
    </row>
    <row r="31" spans="2:30" ht="14.4">
      <c r="B31" s="115" t="s">
        <v>407</v>
      </c>
      <c r="C31" s="116"/>
      <c r="D31" s="110">
        <v>21</v>
      </c>
      <c r="E31" s="309">
        <f t="shared" si="0"/>
        <v>0</v>
      </c>
      <c r="F31" s="306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350"/>
      <c r="Z31" s="118"/>
      <c r="AA31" s="118"/>
      <c r="AB31" s="118"/>
      <c r="AC31" s="119"/>
      <c r="AD31" s="68"/>
    </row>
    <row r="32" spans="2:30" ht="14.4">
      <c r="B32" s="115" t="s">
        <v>408</v>
      </c>
      <c r="C32" s="116"/>
      <c r="D32" s="110">
        <v>22</v>
      </c>
      <c r="E32" s="309">
        <f t="shared" si="0"/>
        <v>0</v>
      </c>
      <c r="F32" s="306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350"/>
      <c r="Z32" s="118"/>
      <c r="AA32" s="118"/>
      <c r="AB32" s="118"/>
      <c r="AC32" s="119"/>
      <c r="AD32" s="68"/>
    </row>
    <row r="33" spans="2:30" ht="14.4">
      <c r="B33" s="120" t="s">
        <v>409</v>
      </c>
      <c r="C33" s="116"/>
      <c r="D33" s="110">
        <v>23</v>
      </c>
      <c r="E33" s="309">
        <f t="shared" si="0"/>
        <v>1</v>
      </c>
      <c r="F33" s="306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350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4.4">
      <c r="B34" s="120" t="s">
        <v>410</v>
      </c>
      <c r="C34" s="116"/>
      <c r="D34" s="110">
        <v>24</v>
      </c>
      <c r="E34" s="309">
        <f t="shared" si="0"/>
        <v>1</v>
      </c>
      <c r="F34" s="306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350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" thickBot="1">
      <c r="B35" s="121" t="s">
        <v>411</v>
      </c>
      <c r="C35" s="122"/>
      <c r="D35" s="123">
        <v>25</v>
      </c>
      <c r="E35" s="310">
        <f t="shared" si="0"/>
        <v>0</v>
      </c>
      <c r="F35" s="307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351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0" priority="9">
      <formula>IF(E$11="NB",1,0)</formula>
    </cfRule>
  </conditionalFormatting>
  <conditionalFormatting sqref="F12:L35">
    <cfRule type="expression" dxfId="9" priority="6">
      <formula>IF($E12=1,1,0)</formula>
    </cfRule>
  </conditionalFormatting>
  <conditionalFormatting sqref="M12:AD35">
    <cfRule type="expression" dxfId="8" priority="3">
      <formula>IF(M$11=1,1)</formula>
    </cfRule>
  </conditionalFormatting>
  <conditionalFormatting sqref="M9:AD10">
    <cfRule type="expression" dxfId="7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54" customWidth="1"/>
    <col min="2" max="2" width="7" style="255" customWidth="1"/>
    <col min="3" max="3" width="27.6640625" style="234" customWidth="1"/>
    <col min="4" max="10" width="8.88671875" style="234" customWidth="1"/>
    <col min="11" max="14" width="11.44140625" style="234" customWidth="1"/>
    <col min="15" max="15" width="12.33203125" style="127" customWidth="1"/>
    <col min="16" max="16" width="16.5546875" style="234" customWidth="1"/>
    <col min="17" max="16384" width="11.44140625" style="234"/>
  </cols>
  <sheetData>
    <row r="1" spans="1:16" s="233" customFormat="1">
      <c r="A1" s="130" t="s">
        <v>452</v>
      </c>
      <c r="B1" s="127"/>
      <c r="D1" s="214" t="s">
        <v>545</v>
      </c>
    </row>
    <row r="2" spans="1:16">
      <c r="A2" s="234"/>
      <c r="B2" s="233" t="s">
        <v>453</v>
      </c>
    </row>
    <row r="3" spans="1:16" ht="20.100000000000001" customHeight="1">
      <c r="A3" s="367" t="s">
        <v>249</v>
      </c>
      <c r="B3" s="235" t="s">
        <v>86</v>
      </c>
      <c r="C3" s="236"/>
      <c r="D3" s="369" t="s">
        <v>454</v>
      </c>
      <c r="E3" s="370"/>
      <c r="F3" s="370"/>
      <c r="G3" s="370"/>
      <c r="H3" s="370"/>
      <c r="I3" s="370"/>
      <c r="J3" s="371"/>
      <c r="K3" s="237"/>
      <c r="L3" s="237"/>
      <c r="M3" s="237"/>
      <c r="N3" s="237"/>
      <c r="O3" s="238"/>
      <c r="P3" s="237"/>
    </row>
    <row r="4" spans="1:16" ht="20.100000000000001" customHeight="1">
      <c r="A4" s="36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251</v>
      </c>
      <c r="P5" s="245" t="s">
        <v>250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365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365</v>
      </c>
      <c r="O8" s="247"/>
      <c r="P8" s="241"/>
    </row>
    <row r="9" spans="1:16" ht="21" customHeight="1">
      <c r="A9" s="248">
        <v>3</v>
      </c>
      <c r="B9" s="241" t="s">
        <v>247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9.6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254</v>
      </c>
      <c r="O11" s="247" t="s">
        <v>252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254</v>
      </c>
      <c r="O12" s="247" t="s">
        <v>252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254</v>
      </c>
      <c r="O13" s="247" t="s">
        <v>252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254</v>
      </c>
      <c r="O14" s="247" t="s">
        <v>252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254</v>
      </c>
      <c r="O15" s="247" t="s">
        <v>252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254</v>
      </c>
      <c r="O16" s="247" t="s">
        <v>252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254</v>
      </c>
      <c r="O17" s="247" t="s">
        <v>253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254</v>
      </c>
      <c r="O18" s="247" t="s">
        <v>253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254</v>
      </c>
      <c r="O19" s="247" t="s">
        <v>253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254</v>
      </c>
      <c r="O20" s="247" t="s">
        <v>253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254</v>
      </c>
      <c r="O21" s="247" t="s">
        <v>253</v>
      </c>
      <c r="P21" s="241" t="s">
        <v>117</v>
      </c>
    </row>
    <row r="22" spans="1:16" ht="26.4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254</v>
      </c>
      <c r="O22" s="247" t="s">
        <v>253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6" priority="2" stopIfTrue="1" operator="equal">
      <formula>$M7</formula>
    </cfRule>
  </conditionalFormatting>
  <conditionalFormatting sqref="D9:J9">
    <cfRule type="cellIs" dxfId="5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18b9f00-f4e5-4488-840e-6084e0f1107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Reinicke, Andrea</cp:lastModifiedBy>
  <cp:lastPrinted>2022-02-02T09:36:54Z</cp:lastPrinted>
  <dcterms:created xsi:type="dcterms:W3CDTF">2015-01-15T05:25:41Z</dcterms:created>
  <dcterms:modified xsi:type="dcterms:W3CDTF">2024-04-26T09:12:51Z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